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ADME" sheetId="1" state="visible" r:id="rId1"/>
    <sheet xmlns:r="http://schemas.openxmlformats.org/officeDocument/2006/relationships" name="Basis_Registry" sheetId="2" state="visible" r:id="rId2"/>
    <sheet xmlns:r="http://schemas.openxmlformats.org/officeDocument/2006/relationships" name="Source_Log" sheetId="3" state="visible" r:id="rId3"/>
    <sheet xmlns:r="http://schemas.openxmlformats.org/officeDocument/2006/relationships" name="Assumptions" sheetId="4" state="visible" r:id="rId4"/>
    <sheet xmlns:r="http://schemas.openxmlformats.org/officeDocument/2006/relationships" name="Market_Sizing" sheetId="5" state="visible" r:id="rId5"/>
    <sheet xmlns:r="http://schemas.openxmlformats.org/officeDocument/2006/relationships" name="Metro_Capacity" sheetId="6" state="visible" r:id="rId6"/>
    <sheet xmlns:r="http://schemas.openxmlformats.org/officeDocument/2006/relationships" name="Unit_Economics" sheetId="7" state="visible" r:id="rId7"/>
    <sheet xmlns:r="http://schemas.openxmlformats.org/officeDocument/2006/relationships" name="Valuation_Comps" sheetId="8" state="visible" r:id="rId8"/>
    <sheet xmlns:r="http://schemas.openxmlformats.org/officeDocument/2006/relationships" name="Sensitivity" sheetId="9" state="visible" r:id="rId9"/>
    <sheet xmlns:r="http://schemas.openxmlformats.org/officeDocument/2006/relationships" name="Recon" sheetId="10" state="visible" r:id="rId10"/>
  </sheets>
  <definedNames>
    <definedName name="_xlnm.Print_Titles" localSheetId="0">'README'!$1:$3</definedName>
    <definedName name="_xlnm.Print_Area" localSheetId="0">'README'!$A$1:$B$44</definedName>
    <definedName name="_xlnm.Print_Titles" localSheetId="1">'Basis_Registry'!$1:$7</definedName>
    <definedName name="_xlnm.Print_Area" localSheetId="1">'Basis_Registry'!$A$1:$I$214</definedName>
    <definedName name="_xlnm.Print_Titles" localSheetId="2">'Source_Log'!$1:$4</definedName>
    <definedName name="_xlnm.Print_Area" localSheetId="2">'Source_Log'!$A$1:$E$59</definedName>
    <definedName name="_xlnm.Print_Titles" localSheetId="3">'Assumptions'!$1:$6</definedName>
    <definedName name="_xlnm.Print_Area" localSheetId="3">'Assumptions'!$A$1:$K$53</definedName>
    <definedName name="_xlnm.Print_Titles" localSheetId="4">'Market_Sizing'!$1:$3</definedName>
    <definedName name="_xlnm.Print_Area" localSheetId="4">'Market_Sizing'!$A$1:$J$63</definedName>
    <definedName name="_xlnm.Print_Titles" localSheetId="5">'Metro_Capacity'!$1:$5</definedName>
    <definedName name="_xlnm.Print_Area" localSheetId="5">'Metro_Capacity'!$A$1:$I$71</definedName>
    <definedName name="_xlnm.Print_Titles" localSheetId="6">'Unit_Economics'!$1:$5</definedName>
    <definedName name="_xlnm.Print_Area" localSheetId="6">'Unit_Economics'!$A$1:$F$49</definedName>
    <definedName name="_xlnm.Print_Titles" localSheetId="7">'Valuation_Comps'!$1:$5</definedName>
    <definedName name="_xlnm.Print_Area" localSheetId="7">'Valuation_Comps'!$A$1:$H$75</definedName>
    <definedName name="_xlnm.Print_Titles" localSheetId="8">'Sensitivity'!$1:$7</definedName>
    <definedName name="_xlnm.Print_Area" localSheetId="8">'Sensitivity'!$A$1:$K$14</definedName>
    <definedName name="_xlnm.Print_Titles" localSheetId="9">'Recon'!$1:$7</definedName>
    <definedName name="_xlnm.Print_Area" localSheetId="9">'Recon'!$A$1:$J$74</definedName>
  </definedNames>
  <calcPr calcId="124519" fullCalcOnLoad="1"/>
</workbook>
</file>

<file path=xl/styles.xml><?xml version="1.0" encoding="utf-8"?>
<styleSheet xmlns="http://schemas.openxmlformats.org/spreadsheetml/2006/main">
  <numFmts count="7">
    <numFmt numFmtId="164" formatCode="000"/>
    <numFmt numFmtId="165" formatCode="#,##0_);(#,##0);\-_)"/>
    <numFmt numFmtId="166" formatCode="0.0%_);(0.0%);\-_)"/>
    <numFmt numFmtId="167" formatCode="#,##0.00_);(#,##0.00);\-_)"/>
    <numFmt numFmtId="168" formatCode="#,##0.0000_);(#,##0.0000);\-_)"/>
    <numFmt numFmtId="169" formatCode="#,##0.0_);(#,##0.0);\-_)"/>
    <numFmt numFmtId="170" formatCode="0_);(0);\-_)"/>
  </numFmts>
  <fonts count="29">
    <font>
      <name val="Calibri"/>
      <family val="2"/>
      <color theme="1"/>
      <sz val="11"/>
      <scheme val="minor"/>
    </font>
    <font>
      <name val="Calibri"/>
      <b val="1"/>
      <color rgb="000A1E3C"/>
      <sz val="16"/>
    </font>
    <font>
      <name val="Calibri"/>
      <i val="1"/>
      <color rgb="006B7280"/>
      <sz val="10"/>
    </font>
    <font>
      <name val="Calibri"/>
      <b val="1"/>
      <color rgb="000A1E3C"/>
      <sz val="11"/>
    </font>
    <font>
      <name val="Calibri"/>
      <i val="1"/>
      <color rgb="006B7280"/>
      <sz val="9"/>
    </font>
    <font>
      <name val="Calibri"/>
      <b val="1"/>
      <color rgb="00FFFFFF"/>
      <sz val="10"/>
    </font>
    <font>
      <name val="Calibri"/>
      <b val="1"/>
      <color rgb="000A1E3C"/>
      <sz val="10"/>
    </font>
    <font>
      <name val="Calibri"/>
      <color rgb="001F2937"/>
      <sz val="10"/>
    </font>
    <font>
      <name val="Calibri"/>
      <color rgb="001D4ED8"/>
      <sz val="9"/>
      <u val="single"/>
    </font>
    <font>
      <name val="Calibri"/>
      <b val="1"/>
      <color rgb="00C2410C"/>
      <sz val="10"/>
    </font>
    <font>
      <name val="Calibri"/>
      <b val="1"/>
      <color rgb="00FFFFFF"/>
      <sz val="8"/>
    </font>
    <font>
      <name val="Calibri"/>
      <color rgb="00808080"/>
      <sz val="8"/>
    </font>
    <font>
      <name val="Calibri"/>
      <b val="1"/>
      <color rgb="00595959"/>
      <sz val="8"/>
    </font>
    <font>
      <name val="Calibri"/>
      <i val="1"/>
      <color rgb="00404040"/>
      <sz val="8"/>
    </font>
    <font>
      <name val="Calibri"/>
      <color rgb="00404040"/>
      <sz val="8"/>
    </font>
    <font>
      <name val="Calibri"/>
      <color rgb="00305496"/>
      <sz val="8"/>
    </font>
    <font>
      <name val="Calibri"/>
      <color rgb="007030A0"/>
      <sz val="8"/>
    </font>
    <font>
      <name val="Calibri"/>
      <i val="1"/>
      <color rgb="000067B2"/>
      <sz val="8"/>
    </font>
    <font>
      <name val="Calibri"/>
      <color rgb="00404040"/>
      <sz val="8"/>
      <u val="single"/>
    </font>
    <font>
      <name val="Calibri"/>
      <b val="1"/>
      <color rgb="00404040"/>
      <sz val="8"/>
    </font>
    <font>
      <name val="Arial"/>
      <b val="1"/>
      <color rgb="00FFFFFF"/>
      <sz val="9"/>
    </font>
    <font>
      <name val="Arial"/>
      <color rgb="005B6B84"/>
      <sz val="9"/>
    </font>
    <font>
      <name val="Arial"/>
      <b val="1"/>
      <color rgb="000A1E3C"/>
      <sz val="9"/>
    </font>
    <font>
      <name val="Arial"/>
      <i val="1"/>
      <color rgb="000A1E3C"/>
      <sz val="9"/>
    </font>
    <font>
      <name val="Arial"/>
      <color rgb="000A1E3C"/>
      <sz val="9"/>
    </font>
    <font>
      <name val="Arial"/>
      <color rgb="001E3A64"/>
      <sz val="9"/>
    </font>
    <font>
      <name val="Arial"/>
      <i val="1"/>
      <color rgb="001E4E8C"/>
      <sz val="9"/>
    </font>
    <font>
      <name val="Arial"/>
      <i val="1"/>
      <color rgb="005B6B84"/>
      <sz val="9"/>
    </font>
    <font>
      <name val="Arial"/>
      <color rgb="001E4E8C"/>
      <sz val="9"/>
      <u val="single"/>
    </font>
  </fonts>
  <fills count="20">
    <fill>
      <patternFill/>
    </fill>
    <fill>
      <patternFill patternType="gray125"/>
    </fill>
    <fill>
      <patternFill patternType="solid">
        <fgColor rgb="000A1E3C"/>
      </patternFill>
    </fill>
    <fill>
      <patternFill patternType="solid">
        <fgColor rgb="00F9E7DE"/>
      </patternFill>
    </fill>
    <fill>
      <patternFill patternType="solid">
        <fgColor rgb="00EEF2F8"/>
      </patternFill>
    </fill>
    <fill>
      <patternFill patternType="solid">
        <fgColor rgb="00F7F9FC"/>
      </patternFill>
    </fill>
    <fill>
      <patternFill patternType="solid">
        <fgColor rgb="00595959"/>
      </patternFill>
    </fill>
    <fill>
      <patternFill patternType="solid">
        <fgColor rgb="00F2F2F2"/>
      </patternFill>
    </fill>
    <fill>
      <patternFill patternType="solid">
        <fgColor rgb="00D9D9D9"/>
      </patternFill>
    </fill>
    <fill>
      <patternFill patternType="solid">
        <fgColor rgb="00808080"/>
      </patternFill>
    </fill>
    <fill>
      <patternFill patternType="solid">
        <fgColor rgb="00FFFFBE"/>
      </patternFill>
    </fill>
    <fill>
      <patternFill patternType="solid">
        <fgColor rgb="00DDEBF7"/>
      </patternFill>
    </fill>
    <fill>
      <patternFill patternType="solid">
        <fgColor rgb="00F3EBF9"/>
      </patternFill>
    </fill>
    <fill>
      <patternFill patternType="solid">
        <fgColor rgb="00D6E4F0"/>
      </patternFill>
    </fill>
    <fill>
      <patternFill patternType="solid">
        <fgColor rgb="00F4F1EC"/>
      </patternFill>
    </fill>
    <fill>
      <patternFill patternType="solid">
        <fgColor rgb="00E2DCD1"/>
      </patternFill>
    </fill>
    <fill>
      <patternFill patternType="solid">
        <fgColor rgb="003D4E68"/>
      </patternFill>
    </fill>
    <fill>
      <patternFill patternType="solid">
        <fgColor rgb="00EEF0F4"/>
      </patternFill>
    </fill>
    <fill>
      <patternFill patternType="solid">
        <fgColor rgb="00C2410C"/>
      </patternFill>
    </fill>
    <fill>
      <patternFill patternType="solid">
        <fgColor rgb="00ECE8E1"/>
      </patternFill>
    </fill>
  </fills>
  <borders count="7">
    <border>
      <left/>
      <right/>
      <top/>
      <bottom/>
      <diagonal/>
    </border>
    <border>
      <left style="thin">
        <color rgb="00D1D5DB"/>
      </left>
      <right style="thin">
        <color rgb="00D1D5DB"/>
      </right>
      <top style="thin">
        <color rgb="00D1D5DB"/>
      </top>
      <bottom style="thin">
        <color rgb="00D1D5DB"/>
      </bottom>
    </border>
    <border/>
    <border>
      <top style="thin"/>
      <bottom style="thin"/>
    </border>
    <border>
      <left style="thin"/>
      <right style="thin"/>
      <top style="thin"/>
      <bottom style="thin"/>
    </border>
    <border>
      <left/>
      <right/>
      <top style="thin">
        <color rgb="00C9CFD8"/>
      </top>
      <bottom style="thin">
        <color rgb="00C9CFD8"/>
      </bottom>
    </border>
    <border>
      <left style="thin">
        <color rgb="00C9CFD8"/>
      </left>
      <right style="thin">
        <color rgb="00C9CFD8"/>
      </right>
      <top style="thin">
        <color rgb="00C9CFD8"/>
      </top>
      <bottom style="thin">
        <color rgb="00C9CFD8"/>
      </bottom>
    </border>
  </borders>
  <cellStyleXfs count="1">
    <xf numFmtId="0" fontId="0" fillId="0" borderId="0"/>
  </cellStyleXfs>
  <cellXfs count="149">
    <xf numFmtId="0" fontId="0" fillId="0" borderId="0" pivotButton="0" quotePrefix="0" xfId="0"/>
    <xf numFmtId="0" fontId="10" fillId="6" borderId="2" applyAlignment="1" pivotButton="0" quotePrefix="0" xfId="0">
      <alignment vertical="center"/>
    </xf>
    <xf numFmtId="0" fontId="11" fillId="7" borderId="3" applyAlignment="1" pivotButton="0" quotePrefix="0" xfId="0">
      <alignment vertical="center"/>
    </xf>
    <xf numFmtId="0" fontId="12" fillId="8" borderId="3" applyAlignment="1" pivotButton="0" quotePrefix="0" xfId="0">
      <alignment vertical="center"/>
    </xf>
    <xf numFmtId="0" fontId="13" fillId="0" borderId="2" applyAlignment="1" pivotButton="0" quotePrefix="0" xfId="0">
      <alignment vertical="center"/>
    </xf>
    <xf numFmtId="0" fontId="10" fillId="9" borderId="3" applyAlignment="1" pivotButton="0" quotePrefix="0" xfId="0">
      <alignment vertical="center" wrapText="1"/>
    </xf>
    <xf numFmtId="0" fontId="14" fillId="0" borderId="2" applyAlignment="1" pivotButton="0" quotePrefix="0" xfId="0">
      <alignment horizontal="left" vertical="center"/>
    </xf>
    <xf numFmtId="0" fontId="14" fillId="0" borderId="2" applyAlignment="1" pivotButton="0" quotePrefix="0" xfId="0">
      <alignment horizontal="left" vertical="center" wrapText="1"/>
    </xf>
    <xf numFmtId="0" fontId="14" fillId="10" borderId="4" applyAlignment="1" pivotButton="0" quotePrefix="0" xfId="0">
      <alignment vertical="center"/>
    </xf>
    <xf numFmtId="0" fontId="15" fillId="11" borderId="4" applyAlignment="1" pivotButton="0" quotePrefix="0" xfId="0">
      <alignment vertical="center"/>
    </xf>
    <xf numFmtId="0" fontId="14" fillId="0" borderId="4" applyAlignment="1" pivotButton="0" quotePrefix="0" xfId="0">
      <alignment vertical="center"/>
    </xf>
    <xf numFmtId="0" fontId="16" fillId="12" borderId="2" applyAlignment="1" pivotButton="0" quotePrefix="0" xfId="0">
      <alignment vertical="center"/>
    </xf>
    <xf numFmtId="0" fontId="16" fillId="0" borderId="2" applyAlignment="1" pivotButton="0" quotePrefix="0" xfId="0">
      <alignment vertical="center"/>
    </xf>
    <xf numFmtId="0" fontId="14" fillId="13" borderId="4" applyAlignment="1" pivotButton="0" quotePrefix="0" xfId="0">
      <alignment vertical="center"/>
    </xf>
    <xf numFmtId="0" fontId="14" fillId="8" borderId="4" applyAlignment="1" pivotButton="0" quotePrefix="0" xfId="0">
      <alignment vertical="center"/>
    </xf>
    <xf numFmtId="0" fontId="17" fillId="0" borderId="2" applyAlignment="1" pivotButton="0" quotePrefix="0" xfId="0">
      <alignment horizontal="left" vertical="center"/>
    </xf>
    <xf numFmtId="164" fontId="11" fillId="0" borderId="2" applyAlignment="1" pivotButton="0" quotePrefix="0" xfId="0">
      <alignment horizontal="center" vertical="center"/>
    </xf>
    <xf numFmtId="0" fontId="4" fillId="0" borderId="1" pivotButton="0" quotePrefix="0" xfId="0"/>
    <xf numFmtId="0" fontId="11" fillId="0" borderId="2" applyAlignment="1" pivotButton="0" quotePrefix="0" xfId="0">
      <alignment horizontal="right" vertical="center"/>
    </xf>
    <xf numFmtId="0" fontId="13" fillId="0" borderId="2" applyAlignment="1" pivotButton="0" quotePrefix="0" xfId="0">
      <alignment vertical="center" wrapText="1"/>
    </xf>
    <xf numFmtId="0" fontId="17" fillId="0" borderId="2" applyAlignment="1" pivotButton="0" quotePrefix="0" xfId="0">
      <alignment horizontal="left" vertical="center" wrapText="1"/>
    </xf>
    <xf numFmtId="0" fontId="11" fillId="0" borderId="2" applyAlignment="1" pivotButton="0" quotePrefix="0" xfId="0">
      <alignment horizontal="right" vertical="center" wrapText="1"/>
    </xf>
    <xf numFmtId="0" fontId="4" fillId="0" borderId="1" applyAlignment="1" pivotButton="0" quotePrefix="0" xfId="0">
      <alignment vertical="top" wrapText="1"/>
    </xf>
    <xf numFmtId="0" fontId="18" fillId="0" borderId="2" applyAlignment="1" pivotButton="0" quotePrefix="0" xfId="0">
      <alignment horizontal="left" vertical="center" wrapText="1"/>
    </xf>
    <xf numFmtId="165" fontId="14" fillId="13" borderId="4" applyAlignment="1" pivotButton="0" quotePrefix="0" xfId="0">
      <alignment horizontal="right" vertical="center"/>
    </xf>
    <xf numFmtId="165" fontId="15" fillId="11" borderId="4" applyAlignment="1" pivotButton="0" quotePrefix="0" xfId="0">
      <alignment horizontal="right" vertical="center"/>
    </xf>
    <xf numFmtId="165" fontId="16" fillId="0" borderId="2" applyAlignment="1" pivotButton="0" quotePrefix="0" xfId="0">
      <alignment horizontal="right" vertical="center"/>
    </xf>
    <xf numFmtId="165" fontId="14" fillId="0" borderId="4" applyAlignment="1" pivotButton="0" quotePrefix="0" xfId="0">
      <alignment horizontal="right" vertical="center"/>
    </xf>
    <xf numFmtId="165" fontId="16" fillId="12" borderId="2" applyAlignment="1" pivotButton="0" quotePrefix="0" xfId="0">
      <alignment horizontal="right" vertical="center"/>
    </xf>
    <xf numFmtId="166" fontId="15" fillId="11" borderId="4" applyAlignment="1" pivotButton="0" quotePrefix="0" xfId="0">
      <alignment horizontal="right" vertical="center"/>
    </xf>
    <xf numFmtId="166" fontId="14" fillId="0" borderId="4" applyAlignment="1" pivotButton="0" quotePrefix="0" xfId="0">
      <alignment horizontal="right" vertical="center"/>
    </xf>
    <xf numFmtId="166" fontId="14" fillId="10" borderId="4" applyAlignment="1" pivotButton="0" quotePrefix="0" xfId="0">
      <alignment horizontal="right" vertical="center"/>
    </xf>
    <xf numFmtId="166" fontId="16" fillId="0" borderId="2" applyAlignment="1" pivotButton="0" quotePrefix="0" xfId="0">
      <alignment horizontal="right" vertical="center"/>
    </xf>
    <xf numFmtId="167" fontId="15" fillId="11" borderId="4" applyAlignment="1" pivotButton="0" quotePrefix="0" xfId="0">
      <alignment horizontal="right" vertical="center"/>
    </xf>
    <xf numFmtId="167" fontId="14" fillId="0" borderId="4" applyAlignment="1" pivotButton="0" quotePrefix="0" xfId="0">
      <alignment horizontal="right" vertical="center"/>
    </xf>
    <xf numFmtId="168" fontId="14" fillId="10" borderId="4" applyAlignment="1" pivotButton="0" quotePrefix="0" xfId="0">
      <alignment horizontal="right" vertical="center"/>
    </xf>
    <xf numFmtId="168" fontId="14" fillId="0" borderId="4" applyAlignment="1" pivotButton="0" quotePrefix="0" xfId="0">
      <alignment horizontal="right" vertical="center"/>
    </xf>
    <xf numFmtId="167" fontId="16" fillId="0" borderId="2" applyAlignment="1" pivotButton="0" quotePrefix="0" xfId="0">
      <alignment horizontal="right" vertical="center"/>
    </xf>
    <xf numFmtId="169" fontId="15" fillId="11" borderId="4" applyAlignment="1" pivotButton="0" quotePrefix="0" xfId="0">
      <alignment horizontal="right" vertical="center"/>
    </xf>
    <xf numFmtId="169" fontId="14" fillId="0" borderId="4" applyAlignment="1" pivotButton="0" quotePrefix="0" xfId="0">
      <alignment horizontal="right" vertical="center"/>
    </xf>
    <xf numFmtId="166" fontId="16" fillId="12" borderId="2" applyAlignment="1" pivotButton="0" quotePrefix="0" xfId="0">
      <alignment horizontal="right" vertical="center"/>
    </xf>
    <xf numFmtId="0" fontId="19" fillId="7" borderId="2" applyAlignment="1" pivotButton="0" quotePrefix="0" xfId="0">
      <alignment vertical="center"/>
    </xf>
    <xf numFmtId="170" fontId="10" fillId="9" borderId="3" applyAlignment="1" pivotButton="0" quotePrefix="0" xfId="0">
      <alignment horizontal="right" vertical="center" wrapText="1"/>
    </xf>
    <xf numFmtId="0" fontId="19" fillId="7" borderId="2" applyAlignment="1" pivotButton="0" quotePrefix="0" xfId="0">
      <alignment vertical="center" wrapText="1"/>
    </xf>
    <xf numFmtId="165" fontId="19" fillId="7" borderId="2" applyAlignment="1" pivotButton="0" quotePrefix="0" xfId="0">
      <alignment horizontal="right" vertical="center"/>
    </xf>
    <xf numFmtId="167" fontId="16" fillId="12" borderId="2" applyAlignment="1" pivotButton="0" quotePrefix="0" xfId="0">
      <alignment horizontal="right" vertical="center"/>
    </xf>
    <xf numFmtId="167" fontId="19" fillId="7" borderId="2" applyAlignment="1" pivotButton="0" quotePrefix="0" xfId="0">
      <alignment horizontal="right" vertical="center"/>
    </xf>
    <xf numFmtId="169" fontId="16" fillId="0" borderId="2" applyAlignment="1" pivotButton="0" quotePrefix="0" xfId="0">
      <alignment horizontal="right" vertical="center"/>
    </xf>
    <xf numFmtId="0" fontId="7" fillId="0" borderId="1" pivotButton="0" quotePrefix="0" xfId="0"/>
    <xf numFmtId="0" fontId="16" fillId="12" borderId="2" applyAlignment="1" pivotButton="0" quotePrefix="0" xfId="0">
      <alignment vertical="center" wrapText="1"/>
    </xf>
    <xf numFmtId="169" fontId="16" fillId="12" borderId="2" applyAlignment="1" pivotButton="0" quotePrefix="0" xfId="0">
      <alignment horizontal="right" vertical="center"/>
    </xf>
    <xf numFmtId="166" fontId="19" fillId="7" borderId="2" applyAlignment="1" pivotButton="0" quotePrefix="0" xfId="0">
      <alignment horizontal="right" vertical="center"/>
    </xf>
    <xf numFmtId="169" fontId="19" fillId="7" borderId="2" applyAlignment="1" pivotButton="0" quotePrefix="0" xfId="0">
      <alignment horizontal="right" vertical="center"/>
    </xf>
    <xf numFmtId="165" fontId="14" fillId="10" borderId="4" applyAlignment="1" pivotButton="0" quotePrefix="0" xfId="0">
      <alignment horizontal="right" vertical="center"/>
    </xf>
    <xf numFmtId="166" fontId="10" fillId="9" borderId="3" applyAlignment="1" pivotButton="0" quotePrefix="0" xfId="0">
      <alignment horizontal="right" vertical="center"/>
    </xf>
    <xf numFmtId="167" fontId="10" fillId="9" borderId="3" applyAlignment="1" pivotButton="0" quotePrefix="0" xfId="0">
      <alignment horizontal="right" vertical="center"/>
    </xf>
    <xf numFmtId="168" fontId="15" fillId="11" borderId="4" applyAlignment="1" pivotButton="0" quotePrefix="0" xfId="0">
      <alignment horizontal="right" vertical="center"/>
    </xf>
    <xf numFmtId="168" fontId="16" fillId="12" borderId="2" applyAlignment="1" pivotButton="0" quotePrefix="0" xfId="0">
      <alignment horizontal="right" vertical="center"/>
    </xf>
    <xf numFmtId="164" fontId="11" fillId="0" borderId="2" applyAlignment="1" pivotButton="0" quotePrefix="0" xfId="0">
      <alignment horizontal="center" vertical="center"/>
    </xf>
    <xf numFmtId="165" fontId="14" fillId="13" borderId="4" applyAlignment="1" pivotButton="0" quotePrefix="0" xfId="0">
      <alignment horizontal="right" vertical="center"/>
    </xf>
    <xf numFmtId="165" fontId="15" fillId="11" borderId="4" applyAlignment="1" pivotButton="0" quotePrefix="0" xfId="0">
      <alignment horizontal="right" vertical="center"/>
    </xf>
    <xf numFmtId="165" fontId="16" fillId="0" borderId="2" applyAlignment="1" pivotButton="0" quotePrefix="0" xfId="0">
      <alignment horizontal="right" vertical="center"/>
    </xf>
    <xf numFmtId="165" fontId="14" fillId="0" borderId="4" applyAlignment="1" pivotButton="0" quotePrefix="0" xfId="0">
      <alignment horizontal="right" vertical="center"/>
    </xf>
    <xf numFmtId="165" fontId="16" fillId="12" borderId="2" applyAlignment="1" pivotButton="0" quotePrefix="0" xfId="0">
      <alignment horizontal="right" vertical="center"/>
    </xf>
    <xf numFmtId="166" fontId="15" fillId="11" borderId="4" applyAlignment="1" pivotButton="0" quotePrefix="0" xfId="0">
      <alignment horizontal="right" vertical="center"/>
    </xf>
    <xf numFmtId="166" fontId="14" fillId="0" borderId="4" applyAlignment="1" pivotButton="0" quotePrefix="0" xfId="0">
      <alignment horizontal="right" vertical="center"/>
    </xf>
    <xf numFmtId="166" fontId="14" fillId="10" borderId="4" applyAlignment="1" pivotButton="0" quotePrefix="0" xfId="0">
      <alignment horizontal="right" vertical="center"/>
    </xf>
    <xf numFmtId="166" fontId="16" fillId="0" borderId="2" applyAlignment="1" pivotButton="0" quotePrefix="0" xfId="0">
      <alignment horizontal="right" vertical="center"/>
    </xf>
    <xf numFmtId="167" fontId="15" fillId="11" borderId="4" applyAlignment="1" pivotButton="0" quotePrefix="0" xfId="0">
      <alignment horizontal="right" vertical="center"/>
    </xf>
    <xf numFmtId="167" fontId="14" fillId="0" borderId="4" applyAlignment="1" pivotButton="0" quotePrefix="0" xfId="0">
      <alignment horizontal="right" vertical="center"/>
    </xf>
    <xf numFmtId="168" fontId="14" fillId="10" borderId="4" applyAlignment="1" pivotButton="0" quotePrefix="0" xfId="0">
      <alignment horizontal="right" vertical="center"/>
    </xf>
    <xf numFmtId="168" fontId="14" fillId="0" borderId="4" applyAlignment="1" pivotButton="0" quotePrefix="0" xfId="0">
      <alignment horizontal="right" vertical="center"/>
    </xf>
    <xf numFmtId="167" fontId="16" fillId="0" borderId="2" applyAlignment="1" pivotButton="0" quotePrefix="0" xfId="0">
      <alignment horizontal="right" vertical="center"/>
    </xf>
    <xf numFmtId="169" fontId="15" fillId="11" borderId="4" applyAlignment="1" pivotButton="0" quotePrefix="0" xfId="0">
      <alignment horizontal="right" vertical="center"/>
    </xf>
    <xf numFmtId="169" fontId="14" fillId="0" borderId="4" applyAlignment="1" pivotButton="0" quotePrefix="0" xfId="0">
      <alignment horizontal="right" vertical="center"/>
    </xf>
    <xf numFmtId="166" fontId="16" fillId="12" borderId="2" applyAlignment="1" pivotButton="0" quotePrefix="0" xfId="0">
      <alignment horizontal="right" vertical="center"/>
    </xf>
    <xf numFmtId="170" fontId="10" fillId="9" borderId="3" applyAlignment="1" pivotButton="0" quotePrefix="0" xfId="0">
      <alignment horizontal="right" vertical="center" wrapText="1"/>
    </xf>
    <xf numFmtId="165" fontId="19" fillId="7" borderId="2" applyAlignment="1" pivotButton="0" quotePrefix="0" xfId="0">
      <alignment horizontal="right" vertical="center"/>
    </xf>
    <xf numFmtId="167" fontId="16" fillId="12" borderId="2" applyAlignment="1" pivotButton="0" quotePrefix="0" xfId="0">
      <alignment horizontal="right" vertical="center"/>
    </xf>
    <xf numFmtId="167" fontId="19" fillId="7" borderId="2" applyAlignment="1" pivotButton="0" quotePrefix="0" xfId="0">
      <alignment horizontal="right" vertical="center"/>
    </xf>
    <xf numFmtId="169" fontId="16" fillId="0" borderId="2" applyAlignment="1" pivotButton="0" quotePrefix="0" xfId="0">
      <alignment horizontal="right" vertical="center"/>
    </xf>
    <xf numFmtId="169" fontId="16" fillId="12" borderId="2" applyAlignment="1" pivotButton="0" quotePrefix="0" xfId="0">
      <alignment horizontal="right" vertical="center"/>
    </xf>
    <xf numFmtId="166" fontId="19" fillId="7" borderId="2" applyAlignment="1" pivotButton="0" quotePrefix="0" xfId="0">
      <alignment horizontal="right" vertical="center"/>
    </xf>
    <xf numFmtId="169" fontId="19" fillId="7" borderId="2" applyAlignment="1" pivotButton="0" quotePrefix="0" xfId="0">
      <alignment horizontal="right" vertical="center"/>
    </xf>
    <xf numFmtId="165" fontId="14" fillId="10" borderId="4" applyAlignment="1" pivotButton="0" quotePrefix="0" xfId="0">
      <alignment horizontal="right" vertical="center"/>
    </xf>
    <xf numFmtId="166" fontId="10" fillId="9" borderId="3" applyAlignment="1" pivotButton="0" quotePrefix="0" xfId="0">
      <alignment horizontal="right" vertical="center"/>
    </xf>
    <xf numFmtId="167" fontId="10" fillId="9" borderId="3" applyAlignment="1" pivotButton="0" quotePrefix="0" xfId="0">
      <alignment horizontal="right" vertical="center"/>
    </xf>
    <xf numFmtId="168" fontId="15" fillId="11" borderId="4" applyAlignment="1" pivotButton="0" quotePrefix="0" xfId="0">
      <alignment horizontal="right" vertical="center"/>
    </xf>
    <xf numFmtId="168" fontId="16" fillId="12" borderId="2" applyAlignment="1" pivotButton="0" quotePrefix="0" xfId="0">
      <alignment horizontal="right" vertical="center"/>
    </xf>
    <xf numFmtId="167" fontId="16" fillId="12" borderId="4" applyAlignment="1" pivotButton="0" quotePrefix="0" xfId="0">
      <alignment horizontal="right" vertical="center"/>
    </xf>
    <xf numFmtId="167" fontId="16" fillId="0" borderId="4" applyAlignment="1" pivotButton="0" quotePrefix="0" xfId="0">
      <alignment horizontal="right" vertical="center"/>
    </xf>
    <xf numFmtId="0" fontId="20" fillId="2" borderId="2" applyAlignment="1" pivotButton="0" quotePrefix="0" xfId="0">
      <alignment vertical="center"/>
    </xf>
    <xf numFmtId="0" fontId="21" fillId="14" borderId="5" applyAlignment="1" pivotButton="0" quotePrefix="0" xfId="0">
      <alignment vertical="center"/>
    </xf>
    <xf numFmtId="0" fontId="22" fillId="15" borderId="5" applyAlignment="1" pivotButton="0" quotePrefix="0" xfId="0">
      <alignment vertical="center"/>
    </xf>
    <xf numFmtId="0" fontId="23" fillId="0" borderId="2" applyAlignment="1" pivotButton="0" quotePrefix="0" xfId="0">
      <alignment vertical="center"/>
    </xf>
    <xf numFmtId="0" fontId="20" fillId="16" borderId="5" applyAlignment="1" pivotButton="0" quotePrefix="0" xfId="0">
      <alignment vertical="center" wrapText="1"/>
    </xf>
    <xf numFmtId="0" fontId="24" fillId="0" borderId="2" applyAlignment="1" pivotButton="0" quotePrefix="0" xfId="0">
      <alignment horizontal="left" vertical="center"/>
    </xf>
    <xf numFmtId="0" fontId="24" fillId="0" borderId="2" applyAlignment="1" pivotButton="0" quotePrefix="0" xfId="0">
      <alignment horizontal="left" vertical="center" wrapText="1"/>
    </xf>
    <xf numFmtId="0" fontId="24" fillId="3" borderId="6" applyAlignment="1" pivotButton="0" quotePrefix="0" xfId="0">
      <alignment vertical="center"/>
    </xf>
    <xf numFmtId="0" fontId="25" fillId="4" borderId="6" applyAlignment="1" pivotButton="0" quotePrefix="0" xfId="0">
      <alignment vertical="center"/>
    </xf>
    <xf numFmtId="0" fontId="24" fillId="0" borderId="6" applyAlignment="1" pivotButton="0" quotePrefix="0" xfId="0">
      <alignment vertical="center"/>
    </xf>
    <xf numFmtId="0" fontId="21" fillId="17" borderId="2" applyAlignment="1" pivotButton="0" quotePrefix="0" xfId="0">
      <alignment vertical="center"/>
    </xf>
    <xf numFmtId="0" fontId="21" fillId="0" borderId="2" applyAlignment="1" pivotButton="0" quotePrefix="0" xfId="0">
      <alignment vertical="center"/>
    </xf>
    <xf numFmtId="0" fontId="20" fillId="18" borderId="6" applyAlignment="1" pivotButton="0" quotePrefix="0" xfId="0">
      <alignment vertical="center"/>
    </xf>
    <xf numFmtId="0" fontId="24" fillId="19" borderId="6" applyAlignment="1" pivotButton="0" quotePrefix="0" xfId="0">
      <alignment vertical="center"/>
    </xf>
    <xf numFmtId="0" fontId="26" fillId="0" borderId="2" applyAlignment="1" pivotButton="0" quotePrefix="0" xfId="0">
      <alignment horizontal="left" vertical="center"/>
    </xf>
    <xf numFmtId="164" fontId="21" fillId="0" borderId="2" applyAlignment="1" pivotButton="0" quotePrefix="0" xfId="0">
      <alignment horizontal="center" vertical="center"/>
    </xf>
    <xf numFmtId="0" fontId="27" fillId="0" borderId="6" pivotButton="0" quotePrefix="0" xfId="0"/>
    <xf numFmtId="0" fontId="21" fillId="0" borderId="2" applyAlignment="1" pivotButton="0" quotePrefix="0" xfId="0">
      <alignment horizontal="right" vertical="center"/>
    </xf>
    <xf numFmtId="0" fontId="23" fillId="0" borderId="2" applyAlignment="1" pivotButton="0" quotePrefix="0" xfId="0">
      <alignment vertical="center" wrapText="1"/>
    </xf>
    <xf numFmtId="0" fontId="26" fillId="0" borderId="2" applyAlignment="1" pivotButton="0" quotePrefix="0" xfId="0">
      <alignment horizontal="left" vertical="center" wrapText="1"/>
    </xf>
    <xf numFmtId="0" fontId="21" fillId="0" borderId="2" applyAlignment="1" pivotButton="0" quotePrefix="0" xfId="0">
      <alignment horizontal="right" vertical="center" wrapText="1"/>
    </xf>
    <xf numFmtId="0" fontId="27" fillId="0" borderId="6" applyAlignment="1" pivotButton="0" quotePrefix="0" xfId="0">
      <alignment vertical="top" wrapText="1"/>
    </xf>
    <xf numFmtId="0" fontId="28" fillId="0" borderId="2" applyAlignment="1" pivotButton="0" quotePrefix="0" xfId="0">
      <alignment horizontal="left" vertical="center" wrapText="1"/>
    </xf>
    <xf numFmtId="165" fontId="20" fillId="18" borderId="6" applyAlignment="1" pivotButton="0" quotePrefix="0" xfId="0">
      <alignment horizontal="right" vertical="center"/>
    </xf>
    <xf numFmtId="165" fontId="25" fillId="4" borderId="6" applyAlignment="1" pivotButton="0" quotePrefix="0" xfId="0">
      <alignment horizontal="right" vertical="center"/>
    </xf>
    <xf numFmtId="165" fontId="21" fillId="0" borderId="2" applyAlignment="1" pivotButton="0" quotePrefix="0" xfId="0">
      <alignment horizontal="right" vertical="center"/>
    </xf>
    <xf numFmtId="165" fontId="24" fillId="0" borderId="6" applyAlignment="1" pivotButton="0" quotePrefix="0" xfId="0">
      <alignment horizontal="right" vertical="center"/>
    </xf>
    <xf numFmtId="165" fontId="21" fillId="17" borderId="2" applyAlignment="1" pivotButton="0" quotePrefix="0" xfId="0">
      <alignment horizontal="right" vertical="center"/>
    </xf>
    <xf numFmtId="166" fontId="25" fillId="4" borderId="6" applyAlignment="1" pivotButton="0" quotePrefix="0" xfId="0">
      <alignment horizontal="right" vertical="center"/>
    </xf>
    <xf numFmtId="166" fontId="24" fillId="0" borderId="6" applyAlignment="1" pivotButton="0" quotePrefix="0" xfId="0">
      <alignment horizontal="right" vertical="center"/>
    </xf>
    <xf numFmtId="166" fontId="24" fillId="3" borderId="6" applyAlignment="1" pivotButton="0" quotePrefix="0" xfId="0">
      <alignment horizontal="right" vertical="center"/>
    </xf>
    <xf numFmtId="166" fontId="21" fillId="0" borderId="2" applyAlignment="1" pivotButton="0" quotePrefix="0" xfId="0">
      <alignment horizontal="right" vertical="center"/>
    </xf>
    <xf numFmtId="167" fontId="25" fillId="4" borderId="6" applyAlignment="1" pivotButton="0" quotePrefix="0" xfId="0">
      <alignment horizontal="right" vertical="center"/>
    </xf>
    <xf numFmtId="167" fontId="24" fillId="0" borderId="6" applyAlignment="1" pivotButton="0" quotePrefix="0" xfId="0">
      <alignment horizontal="right" vertical="center"/>
    </xf>
    <xf numFmtId="168" fontId="24" fillId="3" borderId="6" applyAlignment="1" pivotButton="0" quotePrefix="0" xfId="0">
      <alignment horizontal="right" vertical="center"/>
    </xf>
    <xf numFmtId="168" fontId="24" fillId="0" borderId="6" applyAlignment="1" pivotButton="0" quotePrefix="0" xfId="0">
      <alignment horizontal="right" vertical="center"/>
    </xf>
    <xf numFmtId="167" fontId="21" fillId="0" borderId="2" applyAlignment="1" pivotButton="0" quotePrefix="0" xfId="0">
      <alignment horizontal="right" vertical="center"/>
    </xf>
    <xf numFmtId="169" fontId="25" fillId="4" borderId="6" applyAlignment="1" pivotButton="0" quotePrefix="0" xfId="0">
      <alignment horizontal="right" vertical="center"/>
    </xf>
    <xf numFmtId="169" fontId="24" fillId="0" borderId="6" applyAlignment="1" pivotButton="0" quotePrefix="0" xfId="0">
      <alignment horizontal="right" vertical="center"/>
    </xf>
    <xf numFmtId="166" fontId="21" fillId="17" borderId="2" applyAlignment="1" pivotButton="0" quotePrefix="0" xfId="0">
      <alignment horizontal="right" vertical="center"/>
    </xf>
    <xf numFmtId="0" fontId="22" fillId="14" borderId="2" applyAlignment="1" pivotButton="0" quotePrefix="0" xfId="0">
      <alignment vertical="center"/>
    </xf>
    <xf numFmtId="170" fontId="20" fillId="16" borderId="5" applyAlignment="1" pivotButton="0" quotePrefix="0" xfId="0">
      <alignment horizontal="right" vertical="center" wrapText="1"/>
    </xf>
    <xf numFmtId="0" fontId="22" fillId="14" borderId="2" applyAlignment="1" pivotButton="0" quotePrefix="0" xfId="0">
      <alignment vertical="center" wrapText="1"/>
    </xf>
    <xf numFmtId="165" fontId="22" fillId="14" borderId="2" applyAlignment="1" pivotButton="0" quotePrefix="0" xfId="0">
      <alignment horizontal="right" vertical="center"/>
    </xf>
    <xf numFmtId="167" fontId="21" fillId="17" borderId="2" applyAlignment="1" pivotButton="0" quotePrefix="0" xfId="0">
      <alignment horizontal="right" vertical="center"/>
    </xf>
    <xf numFmtId="167" fontId="22" fillId="14" borderId="2" applyAlignment="1" pivotButton="0" quotePrefix="0" xfId="0">
      <alignment horizontal="right" vertical="center"/>
    </xf>
    <xf numFmtId="169" fontId="21" fillId="0" borderId="2" applyAlignment="1" pivotButton="0" quotePrefix="0" xfId="0">
      <alignment horizontal="right" vertical="center"/>
    </xf>
    <xf numFmtId="0" fontId="24" fillId="0" borderId="6" pivotButton="0" quotePrefix="0" xfId="0"/>
    <xf numFmtId="0" fontId="21" fillId="17" borderId="2" applyAlignment="1" pivotButton="0" quotePrefix="0" xfId="0">
      <alignment vertical="center" wrapText="1"/>
    </xf>
    <xf numFmtId="169" fontId="21" fillId="17" borderId="2" applyAlignment="1" pivotButton="0" quotePrefix="0" xfId="0">
      <alignment horizontal="right" vertical="center"/>
    </xf>
    <xf numFmtId="166" fontId="22" fillId="14" borderId="2" applyAlignment="1" pivotButton="0" quotePrefix="0" xfId="0">
      <alignment horizontal="right" vertical="center"/>
    </xf>
    <xf numFmtId="169" fontId="22" fillId="14" borderId="2" applyAlignment="1" pivotButton="0" quotePrefix="0" xfId="0">
      <alignment horizontal="right" vertical="center"/>
    </xf>
    <xf numFmtId="165" fontId="24" fillId="3" borderId="6" applyAlignment="1" pivotButton="0" quotePrefix="0" xfId="0">
      <alignment horizontal="right" vertical="center"/>
    </xf>
    <xf numFmtId="167" fontId="21" fillId="0" borderId="6" applyAlignment="1" pivotButton="0" quotePrefix="0" xfId="0">
      <alignment horizontal="right" vertical="center"/>
    </xf>
    <xf numFmtId="166" fontId="20" fillId="16" borderId="5" applyAlignment="1" pivotButton="0" quotePrefix="0" xfId="0">
      <alignment horizontal="right" vertical="center"/>
    </xf>
    <xf numFmtId="167" fontId="20" fillId="16" borderId="5" applyAlignment="1" pivotButton="0" quotePrefix="0" xfId="0">
      <alignment horizontal="right" vertical="center"/>
    </xf>
    <xf numFmtId="168" fontId="25" fillId="4" borderId="6" applyAlignment="1" pivotButton="0" quotePrefix="0" xfId="0">
      <alignment horizontal="right" vertical="center"/>
    </xf>
    <xf numFmtId="168" fontId="21" fillId="17" borderId="2" applyAlignment="1" pivotButton="0" quotePrefix="0" xfId="0">
      <alignment horizontal="right" vertical="center"/>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styles" Target="styles.xml" Id="rId11"/><Relationship Type="http://schemas.openxmlformats.org/officeDocument/2006/relationships/theme" Target="theme/theme1.xml" Id="rId12"/></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Relationships xmlns="http://schemas.openxmlformats.org/package/2006/relationships"><Relationship Type="http://schemas.openxmlformats.org/officeDocument/2006/relationships/hyperlink" Target="https://www.ibisworld.com/australia/market-size/cloud-hosting-and-data-processing-services/2246/" TargetMode="External" Id="rId1"/><Relationship Type="http://schemas.openxmlformats.org/officeDocument/2006/relationships/hyperlink" Target="https://www.ibisworld.com/australia/industry/internet-hosting-services/5323/" TargetMode="External" Id="rId2"/><Relationship Type="http://schemas.openxmlformats.org/officeDocument/2006/relationships/hyperlink" Target="https://www.imarcgroup.com/australia-data-center-market" TargetMode="External" Id="rId3"/><Relationship Type="http://schemas.openxmlformats.org/officeDocument/2006/relationships/hyperlink" Target="https://www.researchandmarkets.com/report/australia-data-centers-market" TargetMode="External" Id="rId4"/><Relationship Type="http://schemas.openxmlformats.org/officeDocument/2006/relationships/hyperlink" Target="https://www.mordorintelligence.com/industry-reports/australia-data-center-market" TargetMode="External" Id="rId5"/><Relationship Type="http://schemas.openxmlformats.org/officeDocument/2006/relationships/hyperlink" Target="https://www.mordorintelligence.com/industry-reports/australia-hyperscale-data-center-market" TargetMode="External" Id="rId6"/><Relationship Type="http://schemas.openxmlformats.org/officeDocument/2006/relationships/hyperlink" Target="https://www.cbre.com/insights/reports/global-data-center-trends-2025" TargetMode="External" Id="rId7"/><Relationship Type="http://schemas.openxmlformats.org/officeDocument/2006/relationships/hyperlink" Target="https://www.linkedin.com/pulse/inside-australias-7-billion-data-centre-market-sai-naicker-y2kpc" TargetMode="External" Id="rId8"/><Relationship Type="http://schemas.openxmlformats.org/officeDocument/2006/relationships/hyperlink" Target="https://itkservices3.com/background/data_centres_industry_response" TargetMode="External" Id="rId9"/><Relationship Type="http://schemas.openxmlformats.org/officeDocument/2006/relationships/hyperlink" Target="https://m3property.com.au/australias-data-centre-sector-expands-fortyfold-in-the-past-20-years/" TargetMode="External" Id="rId10"/><Relationship Type="http://schemas.openxmlformats.org/officeDocument/2006/relationships/hyperlink" Target="https://www.theindustrialist.com.au/news/2025/11/24/australia%E2%80%99s-data-centre-sector-expands-fortyfold-past-20-years-m3-property" TargetMode="External" Id="rId11"/><Relationship Type="http://schemas.openxmlformats.org/officeDocument/2006/relationships/hyperlink" Target="https://www.climatecouncil.org.au/wp-content/uploads/2026/06/CC-Report-Data-Centres.pdf" TargetMode="External" Id="rId12"/><Relationship Type="http://schemas.openxmlformats.org/officeDocument/2006/relationships/hyperlink" Target="https://www.businesswire.com/news/home/20251205007956/en/" TargetMode="External" Id="rId13"/><Relationship Type="http://schemas.openxmlformats.org/officeDocument/2006/relationships/hyperlink" Target="https://www.businesswire.com/news/home/20250716298816/en/" TargetMode="External" Id="rId14"/><Relationship Type="http://schemas.openxmlformats.org/officeDocument/2006/relationships/hyperlink" Target="https://itkservices3.com/background/data_centres_australia_top10_construction" TargetMode="External" Id="rId15"/><Relationship Type="http://schemas.openxmlformats.org/officeDocument/2006/relationships/hyperlink" Target="https://www.planningportal.nsw.gov.au/major-projects/projects/marsden-park-data-centre" TargetMode="External" Id="rId16"/><Relationship Type="http://schemas.openxmlformats.org/officeDocument/2006/relationships/hyperlink" Target="https://www.reuters.com/markets/deals/blackstone-buy-australias-airtrunk-16-billion-deal-2024-09-04/" TargetMode="External" Id="rId17"/><Relationship Type="http://schemas.openxmlformats.org/officeDocument/2006/relationships/hyperlink" Target="https://www.reuters.com/breakingviews/blackstone-16-bln-ai-deal-borrows-spac-boom-2024-09-05/" TargetMode="External" Id="rId18"/><Relationship Type="http://schemas.openxmlformats.org/officeDocument/2006/relationships/hyperlink" Target="https://www.pwc.com.au/real-estate/data-centre-valuation.html" TargetMode="External" Id="rId19"/><Relationship Type="http://schemas.openxmlformats.org/officeDocument/2006/relationships/hyperlink" Target="https://kalkine.com.au/news/technology/nextdc-asxnxt-locks-in-73mw-of-new-capacity-as-ai-data-centre-demand-accelerates" TargetMode="External" Id="rId20"/><Relationship Type="http://schemas.openxmlformats.org/officeDocument/2006/relationships/hyperlink" Target="https://au.finance.yahoo.com/quote/NXT.AX/" TargetMode="External" Id="rId21"/><Relationship Type="http://schemas.openxmlformats.org/officeDocument/2006/relationships/hyperlink" Target="https://www.fool.com.au/2026/09/09/nextdc-shares-have-fallen-14-in-a-month-is-the-ai-data-centre-boom-over/" TargetMode="External" Id="rId22"/><Relationship Type="http://schemas.openxmlformats.org/officeDocument/2006/relationships/hyperlink" Target="https://www.wealthquestlab.com/research/ASX/NXT" TargetMode="External" Id="rId23"/><Relationship Type="http://schemas.openxmlformats.org/officeDocument/2006/relationships/hyperlink" Target="https://www.datacenterdynamics.com/en/news/infratil-increases-stake-in-canberra-data-centres-close-to-50/" TargetMode="External" Id="rId24"/><Relationship Type="http://schemas.openxmlformats.org/officeDocument/2006/relationships/hyperlink" Target="https://www.theglobeandmail.com/investing/markets/markets-news/Tipranks/36913898/" TargetMode="External" Id="rId25"/><Relationship Type="http://schemas.openxmlformats.org/officeDocument/2006/relationships/hyperlink" Target="https://www.rnz.co.nz/news/business/679228/" TargetMode="External" Id="rId26"/><Relationship Type="http://schemas.openxmlformats.org/officeDocument/2006/relationships/hyperlink" Target="https://www.energyconnects.com/news/utilities/2026/may/infratil-shares-surge-as-cdc-signs-monster-data-center-deal/" TargetMode="External" Id="rId27"/><Relationship Type="http://schemas.openxmlformats.org/officeDocument/2006/relationships/hyperlink" Target="https://www.equinix.com/newsroom/press-releases/2018/04/equinix-closes-metronode-acquisition-to-become-market-leader-in-australia" TargetMode="External" Id="rId28"/><Relationship Type="http://schemas.openxmlformats.org/officeDocument/2006/relationships/hyperlink" Target="https://www.goodman.com/investor-centre/announcements-media/2026/goodman-group-reports-operating-profit-while-strengthening-the-data-centre-pipeline-in-1h26" TargetMode="External" Id="rId29"/><Relationship Type="http://schemas.openxmlformats.org/officeDocument/2006/relationships/hyperlink" Target="https://pdf.savills.asia/asia-pacific-research/asia-pacific-research/ap-data-centre-spotlight-01-2025.pdf" TargetMode="External" Id="rId30"/><Relationship Type="http://schemas.openxmlformats.org/officeDocument/2006/relationships/hyperlink" Target="https://m3property.com.au/static/6bf62cb9d98da7205f8f30dbb8919748/Data-Centre-Insight-September-24.pdf" TargetMode="External" Id="rId31"/><Relationship Type="http://schemas.openxmlformats.org/officeDocument/2006/relationships/hyperlink" Target="https://www.cnbc.com/2026/04/23/microsoft-expands-ai-footprint-in-australia-with-18-billion-investment.html" TargetMode="External" Id="rId32"/><Relationship Type="http://schemas.openxmlformats.org/officeDocument/2006/relationships/hyperlink" Target="https://www.aemo.com.au/-/media/files/stakeholder_consultation/consultations/nem-consultations/2024/2025-iasr-scenarios/final-docs/Oxford-Economics-Australia-Data-centre-energy-consumption-report" TargetMode="External" Id="rId33"/><Relationship Type="http://schemas.openxmlformats.org/officeDocument/2006/relationships/hyperlink" Target="https://certifiedstrategic.com/insights/cbre-2026-asia-pacific-data-centre-outlook-australia-leading-tier-1-5gw-shortfall" TargetMode="External" Id="rId34"/><Relationship Type="http://schemas.openxmlformats.org/officeDocument/2006/relationships/hyperlink" Target="https://thegoodbuilder.com.au/when-ai-needs-a-building-permit-how-the-data-centre-boom-is-draining-the-trades-that-build-homes/" TargetMode="External" Id="rId35"/><Relationship Type="http://schemas.openxmlformats.org/officeDocument/2006/relationships/hyperlink" Target="https://www.theurbandeveloper.com/articles/nextdc-horsley-park-site-acquisition" TargetMode="External" Id="rId36"/><Relationship Type="http://schemas.openxmlformats.org/officeDocument/2006/relationships/hyperlink" Target="https://www.afr.com/street-talk/goldman-natixis-syndicate-brookfield-debt-20190124-h1aex6" TargetMode="External" Id="rId37"/><Relationship Type="http://schemas.openxmlformats.org/officeDocument/2006/relationships/hyperlink" Target="https://www.marketscreener.com/quote/stock/HMC-CAPITAL-LIMITED-68642705/news/Australia-s-HMC-Capital-launches-new-digital-infrastructure-trust-in-1-79-billion-IPO-48421593/" TargetMode="External" Id="rId38"/><Relationship Type="http://schemas.openxmlformats.org/officeDocument/2006/relationships/hyperlink" Target="https://www.datacenterdynamics.com/en/news/australian-stargate-data-center-in-sydney-will-offer-612mw-of-capacity/" TargetMode="External" Id="rId39"/><Relationship Type="http://schemas.openxmlformats.org/officeDocument/2006/relationships/hyperlink" Target="https://www.jll.com/en-hk/insights/market-dynamics/asia-pacific-data-centre" TargetMode="External" Id="rId40"/><Relationship Type="http://schemas.openxmlformats.org/officeDocument/2006/relationships/hyperlink" Target="https://quantfolio.com.au/stock-analysis/nextdc-ltd-nxt-asx/" TargetMode="External" Id="rId41"/><Relationship Type="http://schemas.openxmlformats.org/officeDocument/2006/relationships/hyperlink" Target="https://gerarddevalence.substack.com/p/construction-productivity-the-ai" TargetMode="External" Id="rId42"/><Relationship Type="http://schemas.openxmlformats.org/officeDocument/2006/relationships/hyperlink" Target="https://www.apimagazine.com.au/news/article/australias-data-centre-boom-is-reshaping-property-markets" TargetMode="External" Id="rId43"/><Relationship Type="http://schemas.openxmlformats.org/officeDocument/2006/relationships/hyperlink" Target="https://www.allens.com.au/insights-news/explore/2025/navigating-the-six-key-issues-affecting-data-centre-investment-and-operation/key-deals/" TargetMode="External" Id="rId44"/><Relationship Type="http://schemas.openxmlformats.org/officeDocument/2006/relationships/hyperlink" Target="https://www.troviewintelligence.com/reports/sydney-cooling-and-energy-infrastructure-real-estate-market" TargetMode="External" Id="rId45"/><Relationship Type="http://schemas.openxmlformats.org/officeDocument/2006/relationships/hyperlink" Target="research/au-data-centre-dossier.md#addendum-a1" TargetMode="External" Id="rId46"/></Relationships>
</file>

<file path=xl/worksheets/sheet1.xml><?xml version="1.0" encoding="utf-8"?>
<worksheet xmlns="http://schemas.openxmlformats.org/spreadsheetml/2006/main">
  <sheetPr>
    <tabColor rgb="000A1E3C"/>
    <outlinePr summaryBelow="1" summaryRight="1"/>
    <pageSetUpPr fitToPage="1"/>
  </sheetPr>
  <dimension ref="A1:B44"/>
  <sheetViews>
    <sheetView showGridLines="0" workbookViewId="0">
      <pane ySplit="2" topLeftCell="A3" activePane="bottomLeft" state="frozen"/>
      <selection pane="bottomLeft" activeCell="A1" sqref="A1"/>
    </sheetView>
  </sheetViews>
  <sheetFormatPr baseColWidth="8" defaultRowHeight="15"/>
  <cols>
    <col width="26" customWidth="1" min="1" max="1"/>
    <col width="128" customWidth="1" min="2" max="2"/>
  </cols>
  <sheetData>
    <row r="1">
      <c r="A1" s="91" t="inlineStr">
        <is>
          <t>inashanu: Australian Data Centre Market Model (2026)</t>
        </is>
      </c>
      <c r="B1" s="91" t="n"/>
    </row>
    <row r="2">
      <c r="A2" s="92" t="inlineStr">
        <is>
          <t>Companion workbook to the Australian data centre industry primer. Every input figure traces to a numbered source in Source_Log and carries the basis it is measured on.</t>
        </is>
      </c>
      <c r="B2" s="92" t="n"/>
    </row>
    <row r="3"/>
    <row r="4">
      <c r="A4" s="93" t="inlineStr">
        <is>
          <t>Start here</t>
        </is>
      </c>
      <c r="B4" s="93" t="n"/>
    </row>
    <row r="5">
      <c r="A5" s="94" t="inlineStr">
        <is>
          <t>Set the scenario in one place. The selector on the Assumptions sheet, cell C4, takes 1 for bear, 2 for base, 3 for bull. Every scenario-linked figure in the workbook follows it.</t>
        </is>
      </c>
    </row>
    <row r="6">
      <c r="A6" s="94" t="inlineStr">
        <is>
          <t>Change a driver on the Assumptions sheet. Ochre cells are inashanu judgements and are the ones to take your own view on. Blue cells are figures from cited sources: moving one without moving its citation puts the workbook out of agreement with Source_Log. White cells are formulas and should not be typed over.</t>
        </is>
      </c>
    </row>
    <row r="7">
      <c r="A7" s="94" t="inlineStr">
        <is>
          <t>Read the outputs. Market_Sizing holds the capacity and revenue builds to 2030, Metro_Capacity the metro split and the project pipeline, Unit_Economics the capex and pricing benchmarks, Valuation_Comps the transaction and trading multiples, and Sensitivity the ranking of what moves the 2030 number most.</t>
        </is>
      </c>
    </row>
    <row r="8">
      <c r="A8" s="94" t="inlineStr">
        <is>
          <t>Check the workbook against what was published. Recon lists every figure in the primer and the explorer beside the cell that produces it, and tests each one live. Its result row reports the count of matches.</t>
        </is>
      </c>
    </row>
    <row r="9"/>
    <row r="10">
      <c r="A10" s="93" t="inlineStr">
        <is>
          <t>Model map</t>
        </is>
      </c>
      <c r="B10" s="93" t="n"/>
    </row>
    <row r="11">
      <c r="A11" s="95" t="inlineStr">
        <is>
          <t>Sheet</t>
        </is>
      </c>
      <c r="B11" s="95" t="inlineStr">
        <is>
          <t>Contents</t>
        </is>
      </c>
    </row>
    <row r="12">
      <c r="A12" s="96" t="inlineStr">
        <is>
          <t>Assumptions</t>
        </is>
      </c>
      <c r="B12" s="97" t="inlineStr">
        <is>
          <t>Every model driver with low / base / high, the scenario selector, the type of each figure, its source citation and the basis it is measured on.</t>
        </is>
      </c>
    </row>
    <row r="13">
      <c r="A13" s="96" t="inlineStr">
        <is>
          <t>Market_Sizing</t>
        </is>
      </c>
      <c r="B13" s="97" t="inlineStr">
        <is>
          <t>Capacity (MW) and colocation revenue (A$) builds, 2022–2030E. Bear / base / bull switch, a live basis test on every implied CAGR, a top-down against bottom-up cross-check, and Mordor's capacity series carried in full on its own basis in section E.</t>
        </is>
      </c>
    </row>
    <row r="14">
      <c r="A14" s="96" t="inlineStr">
        <is>
          <t>Metro_Capacity</t>
        </is>
      </c>
      <c r="B14" s="97" t="inlineStr">
        <is>
          <t>Operating MW by metro, the major-project pipeline by metro and status with bottom-up SUMIFS totals, and the pipeline context table.</t>
        </is>
      </c>
    </row>
    <row r="15">
      <c r="A15" s="96" t="inlineStr">
        <is>
          <t>Unit_Economics</t>
        </is>
      </c>
      <c r="B15" s="97" t="inlineStr">
        <is>
          <t>Capex per MW benchmarks, colocation pricing, revenue per MW, and the NEXTDC (ASX:NXT) EBITDA margin bridge used as a public proxy.</t>
        </is>
      </c>
    </row>
    <row r="16">
      <c r="A16" s="96" t="inlineStr">
        <is>
          <t>Valuation_Comps</t>
        </is>
      </c>
      <c r="B16" s="97" t="inlineStr">
        <is>
          <t>AirTrunk transaction metrics on both multiple bases, NEXTDC market data, the CDC valuation trajectory from Infratil filings, the cap-rate band, and a two-way implied-value grid.</t>
        </is>
      </c>
    </row>
    <row r="17">
      <c r="A17" s="96" t="inlineStr">
        <is>
          <t>Sensitivity</t>
        </is>
      </c>
      <c r="B17" s="97" t="inlineStr">
        <is>
          <t>Drivers ranked by the swing they produce in 2030 operating MW, each varied alone against its own base.</t>
        </is>
      </c>
    </row>
    <row r="18">
      <c r="A18" s="96" t="inlineStr">
        <is>
          <t>Basis_Registry</t>
        </is>
      </c>
      <c r="B18" s="97" t="inlineStr">
        <is>
          <t>What every figure counts and on whose definition. Bases, the sanctioned conversions between them, the compositions that produce a nameable result, and the basis of every input cell.</t>
        </is>
      </c>
    </row>
    <row r="19">
      <c r="A19" s="96" t="inlineStr">
        <is>
          <t>Source_Log</t>
        </is>
      </c>
      <c r="B19" s="97" t="inlineStr">
        <is>
          <t>Numbered sources, S-01 to S-47, matching the research dossier: publisher, date, what it evidences here, and the URL.</t>
        </is>
      </c>
    </row>
    <row r="20">
      <c r="A20" s="96" t="inlineStr">
        <is>
          <t>Recon</t>
        </is>
      </c>
      <c r="B20" s="97" t="inlineStr">
        <is>
          <t>Every figure published in the primer and the explorer, mapped to the cell that produces it, with a live value, a match test, and the basis it is measured on. Also records the figures withdrawn and what replaced them.</t>
        </is>
      </c>
    </row>
    <row r="21">
      <c r="A21" s="96" t="inlineStr">
        <is>
          <t>README</t>
        </is>
      </c>
      <c r="B21" s="97" t="inlineStr">
        <is>
          <t>This sheet.</t>
        </is>
      </c>
    </row>
    <row r="22"/>
    <row r="23">
      <c r="A23" s="93" t="inlineStr">
        <is>
          <t>What the colours mean</t>
        </is>
      </c>
      <c r="B23" s="93" t="n"/>
    </row>
    <row r="24">
      <c r="A24" s="95" t="inlineStr">
        <is>
          <t>Cell</t>
        </is>
      </c>
      <c r="B24" s="95" t="inlineStr">
        <is>
          <t>What it means for you</t>
        </is>
      </c>
    </row>
    <row r="25">
      <c r="A25" s="98" t="inlineStr">
        <is>
          <t>Ochre</t>
        </is>
      </c>
      <c r="B25" s="97" t="inlineStr">
        <is>
          <t>An inashanu judgement. Type over it to model your own view; the workbook recalculates.</t>
        </is>
      </c>
    </row>
    <row r="26">
      <c r="A26" s="99" t="inlineStr">
        <is>
          <t>Blue</t>
        </is>
      </c>
      <c r="B26" s="97" t="inlineStr">
        <is>
          <t>A figure from a cited source. The Source column on its row names the source and the as-at date.</t>
        </is>
      </c>
    </row>
    <row r="27">
      <c r="A27" s="100" t="inlineStr">
        <is>
          <t>White with a border</t>
        </is>
      </c>
      <c r="B27" s="97" t="inlineStr">
        <is>
          <t>A formula. Derived from the cells above and beside it, and not to be typed over.</t>
        </is>
      </c>
    </row>
    <row r="28">
      <c r="A28" s="101" t="inlineStr">
        <is>
          <t>Pale slate</t>
        </is>
      </c>
      <c r="B28" s="97" t="inlineStr">
        <is>
          <t>A value arriving from another sheet.</t>
        </is>
      </c>
    </row>
    <row r="29">
      <c r="A29" s="102" t="inlineStr">
        <is>
          <t>Slate text, no fill</t>
        </is>
      </c>
      <c r="B29" s="97" t="inlineStr">
        <is>
          <t>A cell another sheet reads. Changing it moves figures elsewhere in the workbook.</t>
        </is>
      </c>
    </row>
    <row r="30">
      <c r="A30" s="103" t="inlineStr">
        <is>
          <t>Solid ochre</t>
        </is>
      </c>
      <c r="B30" s="97" t="inlineStr">
        <is>
          <t>A control. The scenario selector is the only one.</t>
        </is>
      </c>
    </row>
    <row r="31">
      <c r="A31" s="104" t="inlineStr">
        <is>
          <t>Grey</t>
        </is>
      </c>
      <c r="B31" s="97" t="inlineStr">
        <is>
          <t>No value applies on that row. An empty low or high case means the driver has a single value.</t>
        </is>
      </c>
    </row>
    <row r="32">
      <c r="A32" s="105" t="inlineStr">
        <is>
          <t>Blue italic</t>
        </is>
      </c>
      <c r="B32" s="97" t="inlineStr">
        <is>
          <t>An identifier defined somewhere else in the workbook: a basis name, a source number or a cell address.</t>
        </is>
      </c>
    </row>
    <row r="33"/>
    <row r="34">
      <c r="A34" s="93" t="inlineStr">
        <is>
          <t>The basis registry and the basis gate</t>
        </is>
      </c>
      <c r="B34" s="93" t="n"/>
    </row>
    <row r="35">
      <c r="A35" s="94" t="inlineStr">
        <is>
          <t>A megawatt is not one thing. Australian data centre capacity is published on at least four incompatible definitions, and two of them differ by a factor of two and a half in the same year. Revenue is published on definitions that differ again. A figure without its basis is not evidence.</t>
        </is>
      </c>
    </row>
    <row r="36">
      <c r="A36" s="94" t="inlineStr">
        <is>
          <t>Basis_Registry names each definition, gives it an identifier, and records the sources and as-at date it rests on. Section A lists the bases. Section B lists the only sanctioned conversions between them and names the cell that holds each factor. Section C lists the compositions that produce a result worth naming. Section D records the basis of every input cell in the workbook.</t>
        </is>
      </c>
    </row>
    <row r="37">
      <c r="A37" s="94" t="inlineStr">
        <is>
          <t>The basis gate on the Market_Sizing sheet, cell B10, reads the registry and tests every implied growth rate in the capacity build, reporting PASS or FAIL in the cell itself. A compound rate running from a start on one definition to an end on another measures the distance between the two definitions as well as the change over time, and the gate stops that reaching the page.</t>
        </is>
      </c>
    </row>
    <row r="38">
      <c r="A38" s="94" t="inlineStr">
        <is>
          <t>The same discipline is applied to every formula in the saved file before the workbook is released, by parsing the formulas rather than reading the labels. The Recon sheet carries the gate's result at cell B52, alongside the reconciliation.</t>
        </is>
      </c>
    </row>
    <row r="39"/>
    <row r="40">
      <c r="A40" s="93" t="inlineStr">
        <is>
          <t>Standing notice</t>
        </is>
      </c>
      <c r="B40" s="93" t="n"/>
    </row>
    <row r="41">
      <c r="A41" s="94" t="inlineStr">
        <is>
          <t>Sample deliverable prepared by inashanu, September 2026, to demonstrate house method and quality standard.</t>
        </is>
      </c>
    </row>
    <row r="42">
      <c r="A42" s="94" t="inlineStr">
        <is>
          <t>This model is not investment advice, not a valuation opinion, and not for distribution. Figures are third-party published estimates as compiled in the research dossier; conflicting figures are flagged rather than reconciled.</t>
        </is>
      </c>
    </row>
    <row r="43">
      <c r="A43" s="94" t="inlineStr">
        <is>
          <t>Capacity figures are MW of operating IT load unless the Basis column says otherwise. Capacity-based houses do not all count the same megawatts, and revenue-based houses define the market differently again, so ranges are presented rather than point estimates and no series is blended into another.</t>
        </is>
      </c>
    </row>
    <row r="44">
      <c r="A44" s="94" t="inlineStr">
        <is>
          <t>Cells marked 'inashanu estimate' are derivations from cited sources, such as the geometric interpolation of 2022–24 capacity between the 2020 implied base and the 2025 actual.</t>
        </is>
      </c>
    </row>
  </sheetData>
  <printOptions horizontalCentered="0"/>
  <pageMargins left="0.4" right="0.4" top="0.5" bottom="0.5" header="0.5" footer="0.5"/>
  <pageSetup orientation="portrait" fitToHeight="0" fitToWidth="1"/>
</worksheet>
</file>

<file path=xl/worksheets/sheet2.xml><?xml version="1.0" encoding="utf-8"?>
<worksheet xmlns="http://schemas.openxmlformats.org/spreadsheetml/2006/main">
  <sheetPr>
    <tabColor rgb="00C2410C"/>
    <outlinePr summaryBelow="1" summaryRight="1"/>
    <pageSetUpPr fitToPage="1"/>
  </sheetPr>
  <dimension ref="A1:I214"/>
  <sheetViews>
    <sheetView showGridLines="0" workbookViewId="0">
      <pane xSplit="2" ySplit="4" topLeftCell="C5" activePane="bottomRight" state="frozen"/>
      <selection pane="topRight" activeCell="A1" sqref="A1"/>
      <selection pane="bottomLeft" activeCell="A1" sqref="A1"/>
      <selection pane="bottomRight" activeCell="A1" sqref="A1"/>
    </sheetView>
  </sheetViews>
  <sheetFormatPr baseColWidth="8" defaultRowHeight="15"/>
  <cols>
    <col width="5" customWidth="1" min="1" max="1"/>
    <col width="40" customWidth="1" min="2" max="2"/>
    <col width="12" customWidth="1" min="3" max="3"/>
    <col width="30" customWidth="1" min="4" max="4"/>
    <col width="14" customWidth="1" min="5" max="5"/>
    <col width="24" customWidth="1" min="6" max="6"/>
    <col width="14" customWidth="1" min="7" max="7"/>
    <col width="52" customWidth="1" min="8" max="8"/>
    <col width="78" customWidth="1" min="9" max="9"/>
  </cols>
  <sheetData>
    <row r="1">
      <c r="A1" s="91" t="inlineStr">
        <is>
          <t>Basis Registry: what every figure counts, and what may be done with it</t>
        </is>
      </c>
      <c r="B1" s="91" t="n"/>
      <c r="C1" s="91" t="n"/>
      <c r="D1" s="91" t="n"/>
      <c r="E1" s="91" t="n"/>
      <c r="F1" s="91" t="n"/>
      <c r="G1" s="91" t="n"/>
      <c r="H1" s="91" t="n"/>
      <c r="I1" s="91" t="n"/>
    </row>
    <row r="2">
      <c r="A2" s="96" t="inlineStr">
        <is>
          <t>Identifiers, not prose. The Basis columns elsewhere in this workbook print the label in column H below; the checker derives each computed cell's basis from its precedents and fails the build when a label and a derivation disagree.</t>
        </is>
      </c>
    </row>
    <row r="3"/>
    <row r="4">
      <c r="A4" s="94" t="inlineStr">
        <is>
          <t>A basis is the thing counted and the definition used to count it. Section A names each one. Section B records the only sanctioned way a quantity moves from one basis to another, which is a factor held in a visible assumption cell with its own source. Section C records the products, ratios and sums of two bases that are themselves a nameable measurement; anything not listed there is an error, not a silent pass. Section D declares the basis of every input cell that carries a measured quantity. A computed cell is never declared here: its basis comes from its precedents.</t>
        </is>
      </c>
    </row>
    <row r="5"/>
    <row r="6">
      <c r="A6" s="93" t="inlineStr">
        <is>
          <t>A. Bases</t>
        </is>
      </c>
      <c r="B6" s="93" t="n"/>
      <c r="C6" s="93" t="n"/>
      <c r="D6" s="93" t="n"/>
      <c r="E6" s="93" t="n"/>
      <c r="F6" s="93" t="n"/>
      <c r="G6" s="93" t="n"/>
      <c r="H6" s="93" t="n"/>
      <c r="I6" s="93" t="n"/>
    </row>
    <row r="7">
      <c r="A7" s="95" t="inlineStr">
        <is>
          <t>#</t>
        </is>
      </c>
      <c r="B7" s="95" t="inlineStr">
        <is>
          <t>Basis identifier</t>
        </is>
      </c>
      <c r="C7" s="95" t="inlineStr">
        <is>
          <t>Kind</t>
        </is>
      </c>
      <c r="D7" s="95" t="inlineStr">
        <is>
          <t>Of</t>
        </is>
      </c>
      <c r="E7" s="95" t="inlineStr">
        <is>
          <t>Unit</t>
        </is>
      </c>
      <c r="F7" s="95" t="inlineStr">
        <is>
          <t>Source #</t>
        </is>
      </c>
      <c r="G7" s="95" t="inlineStr">
        <is>
          <t>As at</t>
        </is>
      </c>
      <c r="H7" s="95" t="inlineStr">
        <is>
          <t>Label as printed elsewhere</t>
        </is>
      </c>
      <c r="I7" s="95" t="inlineStr">
        <is>
          <t>What is counted, and on whose definition</t>
        </is>
      </c>
    </row>
    <row r="8">
      <c r="A8" s="106" t="n">
        <v>1</v>
      </c>
      <c r="B8" s="105" t="inlineStr">
        <is>
          <t>operating-it-load-national</t>
        </is>
      </c>
      <c r="C8" s="96" t="inlineStr">
        <is>
          <t>quantity</t>
        </is>
      </c>
      <c r="D8" s="107" t="inlineStr"/>
      <c r="E8" s="108" t="inlineStr">
        <is>
          <t>MW</t>
        </is>
      </c>
      <c r="F8" s="109" t="inlineStr">
        <is>
          <t>S-03; S-08; S-09; S-14; S-33; S-44</t>
        </is>
      </c>
      <c r="G8" s="94" t="inlineStr">
        <is>
          <t>11 May 2026</t>
        </is>
      </c>
      <c r="H8" s="110" t="inlineStr">
        <is>
          <t>MW - operating IT load (national)</t>
        </is>
      </c>
      <c r="I8" s="109" t="inlineStr">
        <is>
          <t>Megawatts of IT load commissioned and drawing power in Australian third-party and self-build data centres, national. The series this model grows. The sources listed are the ones that publish a figure on this definition: CBRE and ITK for the 2025 base, AEMO and the dossier synthesis for the 2030 band, IMARC and ResearchAndMarkets for the metro split. Mordor is deliberately not among them.</t>
        </is>
      </c>
    </row>
    <row r="9">
      <c r="A9" s="106" t="n">
        <v>2</v>
      </c>
      <c r="B9" s="105" t="inlineStr">
        <is>
          <t>mordor-capacity-national</t>
        </is>
      </c>
      <c r="C9" s="96" t="inlineStr">
        <is>
          <t>quantity</t>
        </is>
      </c>
      <c r="D9" s="107" t="inlineStr"/>
      <c r="E9" s="108" t="inlineStr">
        <is>
          <t>MW</t>
        </is>
      </c>
      <c r="F9" s="109" t="inlineStr">
        <is>
          <t>S-05</t>
        </is>
      </c>
      <c r="G9" s="94" t="inlineStr">
        <is>
          <t>Jan 2026</t>
        </is>
      </c>
      <c r="H9" s="110" t="inlineStr">
        <is>
          <t>MW - Mordor capacity basis</t>
        </is>
      </c>
      <c r="I9" s="109" t="inlineStr">
        <is>
          <t>Mordor Intelligence's published series, in the publisher's own sentence: "The IT load capacity or installed capacity, refers to the amount of energy consumed by servers and network equipments placed in a rack installed." A rack installed may not yet be drawing load, so this counts more megawatts than the operating series in the same year.</t>
        </is>
      </c>
    </row>
    <row r="10">
      <c r="A10" s="106" t="n">
        <v>3</v>
      </c>
      <c r="B10" s="105" t="inlineStr">
        <is>
          <t>announced-project-capacity</t>
        </is>
      </c>
      <c r="C10" s="96" t="inlineStr">
        <is>
          <t>quantity</t>
        </is>
      </c>
      <c r="D10" s="107" t="inlineStr"/>
      <c r="E10" s="108" t="inlineStr">
        <is>
          <t>MW</t>
        </is>
      </c>
      <c r="F10" s="109" t="inlineStr">
        <is>
          <t>S-11; S-15; S-16; S-20; S-29; S-32; S-35; S-39; S-45; S-46; S-47</t>
        </is>
      </c>
      <c r="G10" s="94" t="inlineStr">
        <is>
          <t>Sep 2026</t>
        </is>
      </c>
      <c r="H10" s="110" t="inlineStr">
        <is>
          <t>MW - announced project capacity</t>
        </is>
      </c>
      <c r="I10" s="109" t="inlineStr">
        <is>
          <t>Megawatts a developer has announced, lodged or funded for a named project, as stated by the source for that project. Not commissioned load: a project counted here may never be built.</t>
        </is>
      </c>
    </row>
    <row r="11">
      <c r="A11" s="106" t="n">
        <v>4</v>
      </c>
      <c r="B11" s="105" t="inlineStr">
        <is>
          <t>occupied-it-load-m3</t>
        </is>
      </c>
      <c r="C11" s="96" t="inlineStr">
        <is>
          <t>quantity</t>
        </is>
      </c>
      <c r="D11" s="107" t="inlineStr"/>
      <c r="E11" s="108" t="inlineStr">
        <is>
          <t>MW</t>
        </is>
      </c>
      <c r="F11" s="109" t="inlineStr">
        <is>
          <t>S-10</t>
        </is>
      </c>
      <c r="G11" s="94" t="inlineStr">
        <is>
          <t>18 Nov 2025</t>
        </is>
      </c>
      <c r="H11" s="110" t="inlineStr">
        <is>
          <t>MW - occupied IT load (M3 basis)</t>
        </is>
      </c>
      <c r="I11" s="109" t="inlineStr">
        <is>
          <t>M3 Property's occupancy series — IT load taken up by tenants. Narrower than commissioned load, because commissioned capacity can sit empty.</t>
        </is>
      </c>
    </row>
    <row r="12">
      <c r="A12" s="106" t="n">
        <v>5</v>
      </c>
      <c r="B12" s="105" t="inlineStr">
        <is>
          <t>nextdc-billing-utilisation</t>
        </is>
      </c>
      <c r="C12" s="96" t="inlineStr">
        <is>
          <t>quantity</t>
        </is>
      </c>
      <c r="D12" s="107" t="inlineStr"/>
      <c r="E12" s="108" t="inlineStr">
        <is>
          <t>MW</t>
        </is>
      </c>
      <c r="F12" s="109" t="inlineStr">
        <is>
          <t>S-20</t>
        </is>
      </c>
      <c r="G12" s="94" t="inlineStr">
        <is>
          <t>21 Jul 2026</t>
        </is>
      </c>
      <c r="H12" s="110" t="inlineStr">
        <is>
          <t>MW - NEXTDC billing utilisation</t>
        </is>
      </c>
      <c r="I12" s="109" t="inlineStr">
        <is>
          <t>NEXTDC's disclosed billing utilisation: contracted capacity that has begun to bill.</t>
        </is>
      </c>
    </row>
    <row r="13">
      <c r="A13" s="106" t="n">
        <v>6</v>
      </c>
      <c r="B13" s="105" t="inlineStr">
        <is>
          <t>nextdc-contracted-utilisation</t>
        </is>
      </c>
      <c r="C13" s="96" t="inlineStr">
        <is>
          <t>quantity</t>
        </is>
      </c>
      <c r="D13" s="107" t="inlineStr"/>
      <c r="E13" s="108" t="inlineStr">
        <is>
          <t>MW</t>
        </is>
      </c>
      <c r="F13" s="109" t="inlineStr">
        <is>
          <t>S-20</t>
        </is>
      </c>
      <c r="G13" s="94" t="inlineStr">
        <is>
          <t>21 Jul 2026</t>
        </is>
      </c>
      <c r="H13" s="110" t="inlineStr">
        <is>
          <t>MW - NEXTDC contracted utilisation</t>
        </is>
      </c>
      <c r="I13" s="109" t="inlineStr">
        <is>
          <t>NEXTDC's disclosed contracted utilisation: capacity under signed contract, billing or not.</t>
        </is>
      </c>
    </row>
    <row r="14">
      <c r="A14" s="106" t="n">
        <v>7</v>
      </c>
      <c r="B14" s="105" t="inlineStr">
        <is>
          <t>anzsic-j5921-revenue</t>
        </is>
      </c>
      <c r="C14" s="96" t="inlineStr">
        <is>
          <t>quantity</t>
        </is>
      </c>
      <c r="D14" s="107" t="inlineStr"/>
      <c r="E14" s="108" t="inlineStr">
        <is>
          <t>A$bn</t>
        </is>
      </c>
      <c r="F14" s="109" t="inlineStr">
        <is>
          <t>S-01</t>
        </is>
      </c>
      <c r="G14" s="94" t="inlineStr">
        <is>
          <t>Oct 2025</t>
        </is>
      </c>
      <c r="H14" s="110" t="inlineStr">
        <is>
          <t>A$bn - ANZSIC J5921 revenue</t>
        </is>
      </c>
      <c r="I14" s="109" t="inlineStr">
        <is>
          <t>IBISWorld's ANZSIC J5921 Cloud Hosting and Data Processing industry revenue.</t>
        </is>
      </c>
    </row>
    <row r="15">
      <c r="A15" s="106" t="n">
        <v>8</v>
      </c>
      <c r="B15" s="105" t="inlineStr">
        <is>
          <t>anzsic-od5323-revenue</t>
        </is>
      </c>
      <c r="C15" s="96" t="inlineStr">
        <is>
          <t>quantity</t>
        </is>
      </c>
      <c r="D15" s="107" t="inlineStr"/>
      <c r="E15" s="108" t="inlineStr">
        <is>
          <t>A$bn</t>
        </is>
      </c>
      <c r="F15" s="109" t="inlineStr">
        <is>
          <t>S-02</t>
        </is>
      </c>
      <c r="G15" s="94" t="inlineStr">
        <is>
          <t>Mar 2026</t>
        </is>
      </c>
      <c r="H15" s="110" t="inlineStr">
        <is>
          <t>A$bn - ANZSIC OD5323 revenue</t>
        </is>
      </c>
      <c r="I15" s="109" t="inlineStr">
        <is>
          <t>IBISWorld's OD5323 Internet Hosting Services revenue.</t>
        </is>
      </c>
    </row>
    <row r="16">
      <c r="A16" s="106" t="n">
        <v>9</v>
      </c>
      <c r="B16" s="105" t="inlineStr">
        <is>
          <t>anzsic-core-services-revenue</t>
        </is>
      </c>
      <c r="C16" s="96" t="inlineStr">
        <is>
          <t>quantity</t>
        </is>
      </c>
      <c r="D16" s="107" t="inlineStr"/>
      <c r="E16" s="108" t="inlineStr">
        <is>
          <t>A$bn</t>
        </is>
      </c>
      <c r="F16" s="109" t="inlineStr">
        <is>
          <t>S-01; S-02</t>
        </is>
      </c>
      <c r="G16" s="94" t="inlineStr">
        <is>
          <t>Mar 2026</t>
        </is>
      </c>
      <c r="H16" s="110" t="inlineStr">
        <is>
          <t>A$bn - ANZSIC J5921+OD5323 services revenue</t>
        </is>
      </c>
      <c r="I16" s="109" t="inlineStr">
        <is>
          <t>The two ANZSIC classes above, summed. Hosting and data-processing scope: it does not capture hyperscale wholesale leasing, which those classes book as rent.</t>
        </is>
      </c>
    </row>
    <row r="17">
      <c r="A17" s="106" t="n">
        <v>10</v>
      </c>
      <c r="B17" s="105" t="inlineStr">
        <is>
          <t>imarc-market-revenue</t>
        </is>
      </c>
      <c r="C17" s="96" t="inlineStr">
        <is>
          <t>quantity</t>
        </is>
      </c>
      <c r="D17" s="107" t="inlineStr"/>
      <c r="E17" s="108" t="inlineStr">
        <is>
          <t>US$bn</t>
        </is>
      </c>
      <c r="F17" s="109" t="inlineStr">
        <is>
          <t>S-03</t>
        </is>
      </c>
      <c r="G17" s="94" t="inlineStr">
        <is>
          <t>2026</t>
        </is>
      </c>
      <c r="H17" s="110" t="inlineStr">
        <is>
          <t>US$bn - IMARC market scope</t>
        </is>
      </c>
      <c r="I17" s="109" t="inlineStr">
        <is>
          <t>IMARC's Australia data centre market revenue on its own solution-plus-services scope.</t>
        </is>
      </c>
    </row>
    <row r="18">
      <c r="A18" s="106" t="n">
        <v>11</v>
      </c>
      <c r="B18" s="105" t="inlineStr">
        <is>
          <t>researchandmarkets-market-revenue</t>
        </is>
      </c>
      <c r="C18" s="96" t="inlineStr">
        <is>
          <t>quantity</t>
        </is>
      </c>
      <c r="D18" s="107" t="inlineStr"/>
      <c r="E18" s="108" t="inlineStr">
        <is>
          <t>US$bn</t>
        </is>
      </c>
      <c r="F18" s="109" t="inlineStr">
        <is>
          <t>S-04</t>
        </is>
      </c>
      <c r="G18" s="94" t="inlineStr">
        <is>
          <t>2026</t>
        </is>
      </c>
      <c r="H18" s="110" t="inlineStr">
        <is>
          <t>US$bn - ResearchAndMarkets market scope</t>
        </is>
      </c>
      <c r="I18" s="109" t="inlineStr">
        <is>
          <t>ResearchAndMarkets' Australia data centre market revenue on its own scope.</t>
        </is>
      </c>
    </row>
    <row r="19">
      <c r="A19" s="106" t="n">
        <v>12</v>
      </c>
      <c r="B19" s="105" t="inlineStr">
        <is>
          <t>fx-usd-per-aud</t>
        </is>
      </c>
      <c r="C19" s="96" t="inlineStr">
        <is>
          <t>quantity</t>
        </is>
      </c>
      <c r="D19" s="107" t="inlineStr"/>
      <c r="E19" s="108" t="inlineStr">
        <is>
          <t>US$/A$</t>
        </is>
      </c>
      <c r="F19" s="109" t="inlineStr">
        <is>
          <t>S-03; S-42</t>
        </is>
      </c>
      <c r="G19" s="94" t="inlineStr">
        <is>
          <t>2026</t>
        </is>
      </c>
      <c r="H19" s="110" t="inlineStr">
        <is>
          <t>US$ per A$1</t>
        </is>
      </c>
      <c r="I19" s="109" t="inlineStr">
        <is>
          <t>United States dollars per one Australian dollar, the conversion assumption used wherever a source publishes in US dollars.</t>
        </is>
      </c>
    </row>
    <row r="20">
      <c r="A20" s="106" t="n">
        <v>13</v>
      </c>
      <c r="B20" s="105" t="inlineStr">
        <is>
          <t>colocation-price-250-500kw</t>
        </is>
      </c>
      <c r="C20" s="96" t="inlineStr">
        <is>
          <t>quantity</t>
        </is>
      </c>
      <c r="D20" s="107" t="inlineStr"/>
      <c r="E20" s="108" t="inlineStr">
        <is>
          <t>US$/kW/month</t>
        </is>
      </c>
      <c r="F20" s="109" t="inlineStr">
        <is>
          <t>S-07</t>
        </is>
      </c>
      <c r="G20" s="94" t="inlineStr">
        <is>
          <t>Q1 2025</t>
        </is>
      </c>
      <c r="H20" s="110" t="inlineStr">
        <is>
          <t>US$/kW/month - colocation 250-500 kW</t>
        </is>
      </c>
      <c r="I20" s="109" t="inlineStr">
        <is>
          <t>CBRE's asking price for 250 to 500 kW colocation deployments. A retail price point, quoted per kilowatt of contracted IT load per month.</t>
        </is>
      </c>
    </row>
    <row r="21">
      <c r="A21" s="106" t="n">
        <v>14</v>
      </c>
      <c r="B21" s="105" t="inlineStr">
        <is>
          <t>project-capex-announced</t>
        </is>
      </c>
      <c r="C21" s="96" t="inlineStr">
        <is>
          <t>quantity</t>
        </is>
      </c>
      <c r="D21" s="107" t="inlineStr"/>
      <c r="E21" s="108" t="inlineStr">
        <is>
          <t>A$m</t>
        </is>
      </c>
      <c r="F21" s="109" t="inlineStr">
        <is>
          <t>S-15; S-16; S-19; S-39</t>
        </is>
      </c>
      <c r="G21" s="94" t="inlineStr">
        <is>
          <t>Sep 2026</t>
        </is>
      </c>
      <c r="H21" s="110" t="inlineStr">
        <is>
          <t>A$m - announced project capex</t>
        </is>
      </c>
      <c r="I21" s="109" t="inlineStr">
        <is>
          <t>Capital cost a developer or a report has stated for a named project. Inclusions vary by project and are noted row by row.</t>
        </is>
      </c>
    </row>
    <row r="22">
      <c r="A22" s="106" t="n">
        <v>15</v>
      </c>
      <c r="B22" s="105" t="inlineStr">
        <is>
          <t>capex-per-mw-it-load</t>
        </is>
      </c>
      <c r="C22" s="96" t="inlineStr">
        <is>
          <t>quantity</t>
        </is>
      </c>
      <c r="D22" s="107" t="inlineStr"/>
      <c r="E22" s="108" t="inlineStr">
        <is>
          <t>A$m/MW</t>
        </is>
      </c>
      <c r="F22" s="109" t="inlineStr">
        <is>
          <t>S-15; S-16; S-19</t>
        </is>
      </c>
      <c r="G22" s="94" t="inlineStr">
        <is>
          <t>Sep 2026</t>
        </is>
      </c>
      <c r="H22" s="110" t="inlineStr">
        <is>
          <t>A$m per MW of IT load</t>
        </is>
      </c>
      <c r="I22" s="109" t="inlineStr">
        <is>
          <t>Announced project capex divided by that project's announced IT megawatts.</t>
        </is>
      </c>
    </row>
    <row r="23">
      <c r="A23" s="106" t="n">
        <v>16</v>
      </c>
      <c r="B23" s="105" t="inlineStr">
        <is>
          <t>colocation-revenue-per-mw-year</t>
        </is>
      </c>
      <c r="C23" s="96" t="inlineStr">
        <is>
          <t>quantity</t>
        </is>
      </c>
      <c r="D23" s="107" t="inlineStr"/>
      <c r="E23" s="108" t="inlineStr">
        <is>
          <t>A$m/MW/yr</t>
        </is>
      </c>
      <c r="F23" s="109" t="inlineStr">
        <is>
          <t>S-07</t>
        </is>
      </c>
      <c r="G23" s="94" t="inlineStr">
        <is>
          <t>Q1 2025</t>
        </is>
      </c>
      <c r="H23" s="110" t="inlineStr">
        <is>
          <t>A$m per MW of IT load per year - CBRE Sydney 250-500 kW pricing</t>
        </is>
      </c>
      <c r="I23" s="109" t="inlineStr">
        <is>
          <t>The 250 to 500 kW colocation price restated in Australian dollars a year per megawatt of IT load.</t>
        </is>
      </c>
    </row>
    <row r="24">
      <c r="A24" s="106" t="n">
        <v>17</v>
      </c>
      <c r="B24" s="105" t="inlineStr">
        <is>
          <t>ebitda-per-mw-it-load-year</t>
        </is>
      </c>
      <c r="C24" s="96" t="inlineStr">
        <is>
          <t>quantity</t>
        </is>
      </c>
      <c r="D24" s="107" t="inlineStr"/>
      <c r="E24" s="108" t="inlineStr">
        <is>
          <t>A$m/MW/yr</t>
        </is>
      </c>
      <c r="F24" s="109" t="inlineStr">
        <is>
          <t>S-27</t>
        </is>
      </c>
      <c r="G24" s="94" t="inlineStr">
        <is>
          <t>6 May 2026</t>
        </is>
      </c>
      <c r="H24" s="110" t="inlineStr">
        <is>
          <t>A$m per MW of IT load per year</t>
        </is>
      </c>
      <c r="I24" s="109" t="inlineStr">
        <is>
          <t>Contracted EBITDA a year per megawatt deployed, from CDC's disclosed 1 GW deployed against about A$2bn annualised contracted EBITDA.</t>
        </is>
      </c>
    </row>
    <row r="25">
      <c r="A25" s="106" t="n">
        <v>18</v>
      </c>
      <c r="B25" s="105" t="inlineStr">
        <is>
          <t>upper-bound-colocation-revenue</t>
        </is>
      </c>
      <c r="C25" s="96" t="inlineStr">
        <is>
          <t>quantity</t>
        </is>
      </c>
      <c r="D25" s="107" t="inlineStr"/>
      <c r="E25" s="108" t="inlineStr">
        <is>
          <t>A$bn</t>
        </is>
      </c>
      <c r="F25" s="109" t="inlineStr">
        <is>
          <t>S-07; S-08; S-09</t>
        </is>
      </c>
      <c r="G25" s="94" t="inlineStr">
        <is>
          <t>Q1 2025</t>
        </is>
      </c>
      <c r="H25" s="110" t="inlineStr">
        <is>
          <t>A$bn - operating IT load at CBRE retail colocation pricing</t>
        </is>
      </c>
      <c r="I25" s="109" t="inlineStr">
        <is>
          <t>Every operating megawatt priced at the retail colocation rate. A ceiling, not a forecast: the operating base is mostly wholesale and does not transact at retail.</t>
        </is>
      </c>
    </row>
    <row r="26">
      <c r="A26" s="106" t="n">
        <v>19</v>
      </c>
      <c r="B26" s="105" t="inlineStr">
        <is>
          <t>cap-rate-au-data-centre</t>
        </is>
      </c>
      <c r="C26" s="96" t="inlineStr">
        <is>
          <t>quantity</t>
        </is>
      </c>
      <c r="D26" s="107" t="inlineStr"/>
      <c r="E26" s="108" t="inlineStr">
        <is>
          <t>%</t>
        </is>
      </c>
      <c r="F26" s="109" t="inlineStr">
        <is>
          <t>S-31</t>
        </is>
      </c>
      <c r="G26" s="94" t="inlineStr">
        <is>
          <t>2026</t>
        </is>
      </c>
      <c r="H26" s="110" t="inlineStr">
        <is>
          <t>% - capitalisation rate</t>
        </is>
      </c>
      <c r="I26" s="109" t="inlineStr">
        <is>
          <t>The capitalisation rate band observed on Australian data centre assets.</t>
        </is>
      </c>
    </row>
    <row r="27">
      <c r="A27" s="106" t="n">
        <v>20</v>
      </c>
      <c r="B27" s="105" t="inlineStr">
        <is>
          <t>nextdc-total-revenue</t>
        </is>
      </c>
      <c r="C27" s="96" t="inlineStr">
        <is>
          <t>quantity</t>
        </is>
      </c>
      <c r="D27" s="107" t="inlineStr"/>
      <c r="E27" s="108" t="inlineStr">
        <is>
          <t>A$m</t>
        </is>
      </c>
      <c r="F27" s="109" t="inlineStr">
        <is>
          <t>S-22; S-23</t>
        </is>
      </c>
      <c r="G27" s="94" t="inlineStr">
        <is>
          <t>FY26</t>
        </is>
      </c>
      <c r="H27" s="110" t="inlineStr">
        <is>
          <t>A$m - NEXTDC total revenue (reported, incl. power pass-through)</t>
        </is>
      </c>
      <c r="I27" s="109" t="inlineStr">
        <is>
          <t>NEXTDC's reported total revenue, which includes recovered power costs passed through to customers.</t>
        </is>
      </c>
    </row>
    <row r="28">
      <c r="A28" s="106" t="n">
        <v>21</v>
      </c>
      <c r="B28" s="105" t="inlineStr">
        <is>
          <t>nextdc-net-revenue</t>
        </is>
      </c>
      <c r="C28" s="96" t="inlineStr">
        <is>
          <t>quantity</t>
        </is>
      </c>
      <c r="D28" s="107" t="inlineStr"/>
      <c r="E28" s="108" t="inlineStr">
        <is>
          <t>A$m</t>
        </is>
      </c>
      <c r="F28" s="109" t="inlineStr">
        <is>
          <t>S-23</t>
        </is>
      </c>
      <c r="G28" s="94" t="inlineStr">
        <is>
          <t>FY26</t>
        </is>
      </c>
      <c r="H28" s="110" t="inlineStr">
        <is>
          <t>A$m - NEXTDC net revenue (reported, after pass-through)</t>
        </is>
      </c>
      <c r="I28" s="109" t="inlineStr">
        <is>
          <t>NEXTDC's reported revenue after the power pass-through is removed. The denominator the company reports its own margin on.</t>
        </is>
      </c>
    </row>
    <row r="29">
      <c r="A29" s="106" t="n">
        <v>22</v>
      </c>
      <c r="B29" s="105" t="inlineStr">
        <is>
          <t>nextdc-reported-earnings</t>
        </is>
      </c>
      <c r="C29" s="96" t="inlineStr">
        <is>
          <t>quantity</t>
        </is>
      </c>
      <c r="D29" s="107" t="inlineStr"/>
      <c r="E29" s="108" t="inlineStr">
        <is>
          <t>A$m</t>
        </is>
      </c>
      <c r="F29" s="109" t="inlineStr">
        <is>
          <t>S-22; S-23</t>
        </is>
      </c>
      <c r="G29" s="94" t="inlineStr">
        <is>
          <t>FY26</t>
        </is>
      </c>
      <c r="H29" s="110" t="inlineStr">
        <is>
          <t>A$m - NEXTDC reported earnings line (EBITDA, D&amp;A, interest, result)</t>
        </is>
      </c>
      <c r="I29" s="109" t="inlineStr">
        <is>
          <t>Any reported line below revenue in NEXTDC's accounts: underlying EBITDA, depreciation and amortisation, net interest, and the statutory result. One basis, because the margin bridge adds and subtracts exactly these.</t>
        </is>
      </c>
    </row>
    <row r="30">
      <c r="A30" s="106" t="n">
        <v>23</v>
      </c>
      <c r="B30" s="105" t="inlineStr">
        <is>
          <t>transaction-enterprise-value</t>
        </is>
      </c>
      <c r="C30" s="96" t="inlineStr">
        <is>
          <t>quantity</t>
        </is>
      </c>
      <c r="D30" s="107" t="inlineStr"/>
      <c r="E30" s="108" t="inlineStr">
        <is>
          <t>A$m</t>
        </is>
      </c>
      <c r="F30" s="109" t="inlineStr">
        <is>
          <t>S-17; S-18</t>
        </is>
      </c>
      <c r="G30" s="94" t="inlineStr">
        <is>
          <t>2026</t>
        </is>
      </c>
      <c r="H30" s="110" t="inlineStr">
        <is>
          <t>A$m - transaction-implied enterprise value</t>
        </is>
      </c>
      <c r="I30" s="109" t="inlineStr">
        <is>
          <t>Enterprise value implied by a disclosed transaction, in millions.</t>
        </is>
      </c>
    </row>
    <row r="31">
      <c r="A31" s="106" t="n">
        <v>24</v>
      </c>
      <c r="B31" s="105" t="inlineStr">
        <is>
          <t>transaction-enterprise-value-aud-bn</t>
        </is>
      </c>
      <c r="C31" s="96" t="inlineStr">
        <is>
          <t>quantity</t>
        </is>
      </c>
      <c r="D31" s="107" t="inlineStr"/>
      <c r="E31" s="108" t="inlineStr">
        <is>
          <t>A$bn</t>
        </is>
      </c>
      <c r="F31" s="109" t="inlineStr">
        <is>
          <t>S-24</t>
        </is>
      </c>
      <c r="G31" s="94" t="inlineStr">
        <is>
          <t>Feb 2025</t>
        </is>
      </c>
      <c r="H31" s="110" t="inlineStr">
        <is>
          <t>A$bn - transaction-implied enterprise value</t>
        </is>
      </c>
      <c r="I31" s="109" t="inlineStr">
        <is>
          <t>The same measurement in billions, where the source publishes it that way. A separate identifier because a number is not interchangeable with a number a thousand times its size.</t>
        </is>
      </c>
    </row>
    <row r="32">
      <c r="A32" s="106" t="n">
        <v>25</v>
      </c>
      <c r="B32" s="105" t="inlineStr">
        <is>
          <t>nextdc-market-capitalisation</t>
        </is>
      </c>
      <c r="C32" s="96" t="inlineStr">
        <is>
          <t>quantity</t>
        </is>
      </c>
      <c r="D32" s="107" t="inlineStr"/>
      <c r="E32" s="108" t="inlineStr">
        <is>
          <t>A$m</t>
        </is>
      </c>
      <c r="F32" s="109" t="inlineStr">
        <is>
          <t>S-21</t>
        </is>
      </c>
      <c r="G32" s="94" t="inlineStr">
        <is>
          <t>16 Sep 2026</t>
        </is>
      </c>
      <c r="H32" s="110" t="inlineStr">
        <is>
          <t>A$m - NEXTDC market capitalisation</t>
        </is>
      </c>
      <c r="I32" s="109" t="inlineStr">
        <is>
          <t>Quoted market capitalisation at a stated date.</t>
        </is>
      </c>
    </row>
    <row r="33">
      <c r="A33" s="106" t="n">
        <v>26</v>
      </c>
      <c r="B33" s="105" t="inlineStr">
        <is>
          <t>nextdc-implied-enterprise-value</t>
        </is>
      </c>
      <c r="C33" s="96" t="inlineStr">
        <is>
          <t>quantity</t>
        </is>
      </c>
      <c r="D33" s="107" t="inlineStr"/>
      <c r="E33" s="108" t="inlineStr">
        <is>
          <t>A$m</t>
        </is>
      </c>
      <c r="F33" s="109" t="inlineStr">
        <is>
          <t>S-41</t>
        </is>
      </c>
      <c r="G33" s="94" t="inlineStr">
        <is>
          <t>16 Sep 2026</t>
        </is>
      </c>
      <c r="H33" s="110" t="inlineStr">
        <is>
          <t>A$m - NEXTDC enterprise value implied by multiple</t>
        </is>
      </c>
      <c r="I33" s="109" t="inlineStr">
        <is>
          <t>A trading multiple applied to a reported earnings or revenue line. A cross-check on market capitalisation plus net debt, not a disclosed figure.</t>
        </is>
      </c>
    </row>
    <row r="34">
      <c r="A34" s="106" t="n">
        <v>27</v>
      </c>
      <c r="B34" s="105" t="inlineStr">
        <is>
          <t>cdc-ev-over-contracted-ebitda</t>
        </is>
      </c>
      <c r="C34" s="96" t="inlineStr">
        <is>
          <t>quantity</t>
        </is>
      </c>
      <c r="D34" s="107" t="inlineStr"/>
      <c r="E34" s="108" t="inlineStr">
        <is>
          <t>x</t>
        </is>
      </c>
      <c r="F34" s="109" t="inlineStr">
        <is>
          <t>S-25; S-26; S-27</t>
        </is>
      </c>
      <c r="G34" s="94" t="inlineStr">
        <is>
          <t>30 Jun 2026</t>
        </is>
      </c>
      <c r="H34" s="110" t="inlineStr">
        <is>
          <t>x - CDC valuation over contracted EBITDA at 1 GW deployed</t>
        </is>
      </c>
      <c r="I34" s="109" t="inlineStr">
        <is>
          <t>The independent valuation against the earnings a fully deployed gigawatt would carry. A future-basis anchor and not a current multiple.</t>
        </is>
      </c>
    </row>
    <row r="35">
      <c r="A35" s="106" t="n">
        <v>28</v>
      </c>
      <c r="B35" s="105" t="inlineStr">
        <is>
          <t>stabilised-value-per-100mw</t>
        </is>
      </c>
      <c r="C35" s="96" t="inlineStr">
        <is>
          <t>quantity</t>
        </is>
      </c>
      <c r="D35" s="107" t="inlineStr"/>
      <c r="E35" s="108" t="inlineStr">
        <is>
          <t>A$m</t>
        </is>
      </c>
      <c r="F35" s="109" t="inlineStr">
        <is>
          <t>S-27; S-31</t>
        </is>
      </c>
      <c r="G35" s="94" t="inlineStr">
        <is>
          <t>2026</t>
        </is>
      </c>
      <c r="H35" s="110" t="inlineStr">
        <is>
          <t>A$m - stabilised value per 100 MW at the stated cap rate</t>
        </is>
      </c>
      <c r="I35" s="109" t="inlineStr">
        <is>
          <t>Contracted EBITDA per megawatt capitalised at a cap rate, scaled to 100 MW.</t>
        </is>
      </c>
    </row>
    <row r="36">
      <c r="A36" s="106" t="n">
        <v>29</v>
      </c>
      <c r="B36" s="105" t="inlineStr">
        <is>
          <t>transaction-ebitda-multiple</t>
        </is>
      </c>
      <c r="C36" s="96" t="inlineStr">
        <is>
          <t>quantity</t>
        </is>
      </c>
      <c r="D36" s="107" t="inlineStr"/>
      <c r="E36" s="108" t="inlineStr">
        <is>
          <t>x</t>
        </is>
      </c>
      <c r="F36" s="109" t="inlineStr">
        <is>
          <t>S-18; S-19</t>
        </is>
      </c>
      <c r="G36" s="94" t="inlineStr">
        <is>
          <t>2026</t>
        </is>
      </c>
      <c r="H36" s="110" t="inlineStr">
        <is>
          <t>x - disclosed transaction multiple</t>
        </is>
      </c>
      <c r="I36" s="109" t="inlineStr">
        <is>
          <t>A multiple of earnings reported for a transaction, on the earnings definition the reporter states.</t>
        </is>
      </c>
    </row>
    <row r="37">
      <c r="A37" s="106" t="n">
        <v>30</v>
      </c>
      <c r="B37" s="105" t="inlineStr">
        <is>
          <t>transaction-implied-ebitda</t>
        </is>
      </c>
      <c r="C37" s="96" t="inlineStr">
        <is>
          <t>quantity</t>
        </is>
      </c>
      <c r="D37" s="107" t="inlineStr"/>
      <c r="E37" s="108" t="inlineStr">
        <is>
          <t>A$m</t>
        </is>
      </c>
      <c r="F37" s="109" t="inlineStr">
        <is>
          <t>S-17; S-19</t>
        </is>
      </c>
      <c r="G37" s="94" t="inlineStr">
        <is>
          <t>2026</t>
        </is>
      </c>
      <c r="H37" s="110" t="inlineStr">
        <is>
          <t>A$m - contracted EBITDA implied by transaction EV at 21x</t>
        </is>
      </c>
      <c r="I37" s="109" t="inlineStr">
        <is>
          <t>Enterprise value divided by the reported multiple. What the transaction price implies about earnings, not a disclosed earnings figure.</t>
        </is>
      </c>
    </row>
    <row r="38">
      <c r="A38" s="106" t="n">
        <v>31</v>
      </c>
      <c r="B38" s="105" t="inlineStr">
        <is>
          <t>listed-ev-ebitda-multiple</t>
        </is>
      </c>
      <c r="C38" s="96" t="inlineStr">
        <is>
          <t>quantity</t>
        </is>
      </c>
      <c r="D38" s="107" t="inlineStr"/>
      <c r="E38" s="108" t="inlineStr">
        <is>
          <t>x</t>
        </is>
      </c>
      <c r="F38" s="109" t="inlineStr">
        <is>
          <t>S-41</t>
        </is>
      </c>
      <c r="G38" s="94" t="inlineStr">
        <is>
          <t>16 Sep 2026</t>
        </is>
      </c>
      <c r="H38" s="110" t="inlineStr">
        <is>
          <t>multiple - EV over underlying EBITDA</t>
        </is>
      </c>
      <c r="I38" s="109" t="inlineStr">
        <is>
          <t>A listed company's enterprise value over its underlying EBITDA, at a stated date. Separate from the revenue multiple, so that one cannot be applied to the other's denominator.</t>
        </is>
      </c>
    </row>
    <row r="39">
      <c r="A39" s="106" t="n">
        <v>32</v>
      </c>
      <c r="B39" s="105" t="inlineStr">
        <is>
          <t>listed-ev-revenue-multiple</t>
        </is>
      </c>
      <c r="C39" s="96" t="inlineStr">
        <is>
          <t>quantity</t>
        </is>
      </c>
      <c r="D39" s="107" t="inlineStr"/>
      <c r="E39" s="108" t="inlineStr">
        <is>
          <t>x</t>
        </is>
      </c>
      <c r="F39" s="109" t="inlineStr">
        <is>
          <t>S-41</t>
        </is>
      </c>
      <c r="G39" s="94" t="inlineStr">
        <is>
          <t>16 Sep 2026</t>
        </is>
      </c>
      <c r="H39" s="110" t="inlineStr">
        <is>
          <t>multiple - EV over total revenue</t>
        </is>
      </c>
      <c r="I39" s="109" t="inlineStr">
        <is>
          <t>A listed company's enterprise value over its total revenue, at a stated date.</t>
        </is>
      </c>
    </row>
    <row r="40">
      <c r="A40" s="106" t="n">
        <v>33</v>
      </c>
      <c r="B40" s="105" t="inlineStr">
        <is>
          <t>nextdc-share-price</t>
        </is>
      </c>
      <c r="C40" s="96" t="inlineStr">
        <is>
          <t>quantity</t>
        </is>
      </c>
      <c r="D40" s="107" t="inlineStr"/>
      <c r="E40" s="108" t="inlineStr">
        <is>
          <t>A$</t>
        </is>
      </c>
      <c r="F40" s="109" t="inlineStr">
        <is>
          <t>S-21; S-22; S-41</t>
        </is>
      </c>
      <c r="G40" s="94" t="inlineStr">
        <is>
          <t>16 Sep 2026</t>
        </is>
      </c>
      <c r="H40" s="110" t="inlineStr">
        <is>
          <t>A$ per NEXTDC share</t>
        </is>
      </c>
      <c r="I40" s="109" t="inlineStr">
        <is>
          <t>NEXTDC's quoted share price at a stated close.</t>
        </is>
      </c>
    </row>
    <row r="41">
      <c r="A41" s="106" t="n">
        <v>34</v>
      </c>
      <c r="B41" s="105" t="inlineStr">
        <is>
          <t>infratil-cdc-valuation</t>
        </is>
      </c>
      <c r="C41" s="96" t="inlineStr">
        <is>
          <t>quantity</t>
        </is>
      </c>
      <c r="D41" s="107" t="inlineStr"/>
      <c r="E41" s="108" t="inlineStr">
        <is>
          <t>A$bn</t>
        </is>
      </c>
      <c r="F41" s="109" t="inlineStr">
        <is>
          <t>S-25; S-26</t>
        </is>
      </c>
      <c r="G41" s="94" t="inlineStr">
        <is>
          <t>30 Jun 2026</t>
        </is>
      </c>
      <c r="H41" s="110" t="inlineStr">
        <is>
          <t>A$bn - independent valuation (Infratil disclosure)</t>
        </is>
      </c>
      <c r="I41" s="109" t="inlineStr">
        <is>
          <t>The independent valuation of CDC that Infratil discloses at each reporting date.</t>
        </is>
      </c>
    </row>
    <row r="42">
      <c r="A42" s="106" t="n">
        <v>35</v>
      </c>
      <c r="B42" s="105" t="inlineStr">
        <is>
          <t>billing-to-contracted-conversion</t>
        </is>
      </c>
      <c r="C42" s="96" t="inlineStr">
        <is>
          <t>quantity</t>
        </is>
      </c>
      <c r="D42" s="107" t="inlineStr"/>
      <c r="E42" s="108" t="inlineStr">
        <is>
          <t>%</t>
        </is>
      </c>
      <c r="F42" s="109" t="inlineStr">
        <is>
          <t>S-20</t>
        </is>
      </c>
      <c r="G42" s="94" t="inlineStr">
        <is>
          <t>21 Jul 2026</t>
        </is>
      </c>
      <c r="H42" s="110" t="inlineStr">
        <is>
          <t>ratio - NEXTDC billing utilisation over contracted utilisation</t>
        </is>
      </c>
      <c r="I42" s="109" t="inlineStr">
        <is>
          <t>Billing utilisation over contracted utilisation. A conversion between two disclosed NEXTDC definitions, read as a sector proxy for the contracted-to-billing lag.</t>
        </is>
      </c>
    </row>
    <row r="43">
      <c r="A43" s="106" t="n">
        <v>36</v>
      </c>
      <c r="B43" s="105" t="inlineStr">
        <is>
          <t>upper-bound-over-core-services</t>
        </is>
      </c>
      <c r="C43" s="96" t="inlineStr">
        <is>
          <t>quantity</t>
        </is>
      </c>
      <c r="D43" s="107" t="inlineStr"/>
      <c r="E43" s="108" t="inlineStr">
        <is>
          <t>x</t>
        </is>
      </c>
      <c r="F43" s="109" t="inlineStr">
        <is>
          <t>S-01; S-02; S-07</t>
        </is>
      </c>
      <c r="G43" s="94" t="inlineStr">
        <is>
          <t>2026</t>
        </is>
      </c>
      <c r="H43" s="110" t="inlineStr">
        <is>
          <t>ratio - wholesale-inclusive upper bound over core services revenue</t>
        </is>
      </c>
      <c r="I43" s="109" t="inlineStr">
        <is>
          <t>The retail-priced upper bound over the published core services revenue. It measures what the ANZSIC scope leaves out.</t>
        </is>
      </c>
    </row>
    <row r="44">
      <c r="A44" s="106" t="n">
        <v>37</v>
      </c>
      <c r="B44" s="105" t="inlineStr">
        <is>
          <t>asset-ebitda-margin</t>
        </is>
      </c>
      <c r="C44" s="96" t="inlineStr">
        <is>
          <t>quantity</t>
        </is>
      </c>
      <c r="D44" s="107" t="inlineStr"/>
      <c r="E44" s="108" t="inlineStr">
        <is>
          <t>%</t>
        </is>
      </c>
      <c r="F44" s="109" t="inlineStr">
        <is>
          <t>S-07; S-27</t>
        </is>
      </c>
      <c r="G44" s="94" t="inlineStr">
        <is>
          <t>2026</t>
        </is>
      </c>
      <c r="H44" s="110" t="inlineStr">
        <is>
          <t>ratio - EBITDA per MW over colocation revenue per MW, deployed-MW denominator</t>
        </is>
      </c>
      <c r="I44" s="109" t="inlineStr">
        <is>
          <t>EBITDA per megawatt over colocation revenue per megawatt, both on a deployed-megawatt denominator.</t>
        </is>
      </c>
    </row>
    <row r="45">
      <c r="A45" s="106" t="n">
        <v>38</v>
      </c>
      <c r="B45" s="105" t="inlineStr">
        <is>
          <t>nextdc-margin-on-total-revenue</t>
        </is>
      </c>
      <c r="C45" s="96" t="inlineStr">
        <is>
          <t>quantity</t>
        </is>
      </c>
      <c r="D45" s="107" t="inlineStr"/>
      <c r="E45" s="108" t="inlineStr">
        <is>
          <t>%</t>
        </is>
      </c>
      <c r="F45" s="109" t="inlineStr">
        <is>
          <t>S-22; S-23</t>
        </is>
      </c>
      <c r="G45" s="94" t="inlineStr">
        <is>
          <t>FY26</t>
        </is>
      </c>
      <c r="H45" s="110" t="inlineStr">
        <is>
          <t>ratio - NEXTDC underlying EBITDA over total revenue</t>
        </is>
      </c>
      <c r="I45" s="109" t="inlineStr">
        <is>
          <t>NEXTDC underlying EBITDA over total revenue, power pass-through included in the denominator.</t>
        </is>
      </c>
    </row>
    <row r="46">
      <c r="A46" s="106" t="n">
        <v>39</v>
      </c>
      <c r="B46" s="105" t="inlineStr">
        <is>
          <t>nextdc-margin-on-net-revenue</t>
        </is>
      </c>
      <c r="C46" s="96" t="inlineStr">
        <is>
          <t>quantity</t>
        </is>
      </c>
      <c r="D46" s="107" t="inlineStr"/>
      <c r="E46" s="108" t="inlineStr">
        <is>
          <t>%</t>
        </is>
      </c>
      <c r="F46" s="109" t="inlineStr">
        <is>
          <t>S-22; S-23</t>
        </is>
      </c>
      <c r="G46" s="94" t="inlineStr">
        <is>
          <t>FY26</t>
        </is>
      </c>
      <c r="H46" s="110" t="inlineStr">
        <is>
          <t>ratio - NEXTDC underlying EBITDA over net revenue</t>
        </is>
      </c>
      <c r="I46" s="109" t="inlineStr">
        <is>
          <t>NEXTDC underlying EBITDA over net revenue, the denominator the company reports on.</t>
        </is>
      </c>
    </row>
    <row r="47">
      <c r="A47" s="106" t="n">
        <v>40</v>
      </c>
      <c r="B47" s="105" t="inlineStr">
        <is>
          <t>nextdc-gross-to-net-revenue</t>
        </is>
      </c>
      <c r="C47" s="96" t="inlineStr">
        <is>
          <t>quantity</t>
        </is>
      </c>
      <c r="D47" s="107" t="inlineStr"/>
      <c r="E47" s="108" t="inlineStr">
        <is>
          <t>x</t>
        </is>
      </c>
      <c r="F47" s="109" t="inlineStr">
        <is>
          <t>S-22; S-23</t>
        </is>
      </c>
      <c r="G47" s="94" t="inlineStr">
        <is>
          <t>FY26</t>
        </is>
      </c>
      <c r="H47" s="110" t="inlineStr">
        <is>
          <t>x - NEXTDC total revenue over net revenue</t>
        </is>
      </c>
      <c r="I47" s="109" t="inlineStr">
        <is>
          <t>How much of reported revenue is recovered power. The gross-up between the two revenue definitions.</t>
        </is>
      </c>
    </row>
    <row r="48">
      <c r="A48" s="106" t="n">
        <v>41</v>
      </c>
      <c r="B48" s="105" t="inlineStr">
        <is>
          <t>operating-over-mordor-capacity</t>
        </is>
      </c>
      <c r="C48" s="96" t="inlineStr">
        <is>
          <t>quantity</t>
        </is>
      </c>
      <c r="D48" s="107" t="inlineStr"/>
      <c r="E48" s="108" t="inlineStr">
        <is>
          <t>%</t>
        </is>
      </c>
      <c r="F48" s="109" t="inlineStr">
        <is>
          <t>S-05; S-09</t>
        </is>
      </c>
      <c r="G48" s="94" t="inlineStr">
        <is>
          <t>2025</t>
        </is>
      </c>
      <c r="H48" s="110" t="inlineStr">
        <is>
          <t>ratio - operating IT load over Mordor capacity basis, same year</t>
        </is>
      </c>
      <c r="I48" s="109" t="inlineStr">
        <is>
          <t>Operating IT load over the Mordor capacity basis in the one year both publish a value. The distance between two definitions, carried as a disclosure.</t>
        </is>
      </c>
    </row>
    <row r="49">
      <c r="A49" s="106" t="n">
        <v>42</v>
      </c>
      <c r="B49" s="105" t="inlineStr">
        <is>
          <t>share-of-announced-project-capacity</t>
        </is>
      </c>
      <c r="C49" s="96" t="inlineStr">
        <is>
          <t>share</t>
        </is>
      </c>
      <c r="D49" s="105" t="inlineStr">
        <is>
          <t>announced-project-capacity</t>
        </is>
      </c>
      <c r="E49" s="108" t="inlineStr">
        <is>
          <t>%</t>
        </is>
      </c>
      <c r="F49" s="109" t="inlineStr">
        <is>
          <t>S-11; S-15</t>
        </is>
      </c>
      <c r="G49" s="94" t="inlineStr">
        <is>
          <t>Nov 2025</t>
        </is>
      </c>
      <c r="H49" s="110" t="inlineStr">
        <is>
          <t>share of announced project capacity</t>
        </is>
      </c>
      <c r="I49" s="109" t="inlineStr">
        <is>
          <t>A proportion of the announced project pool: deliverability, pre-commitment, completion and conversion rates.</t>
        </is>
      </c>
    </row>
    <row r="50">
      <c r="A50" s="106" t="n">
        <v>43</v>
      </c>
      <c r="B50" s="105" t="inlineStr">
        <is>
          <t>share-of-operating-it-load</t>
        </is>
      </c>
      <c r="C50" s="96" t="inlineStr">
        <is>
          <t>share</t>
        </is>
      </c>
      <c r="D50" s="105" t="inlineStr">
        <is>
          <t>operating-it-load-national</t>
        </is>
      </c>
      <c r="E50" s="108" t="inlineStr">
        <is>
          <t>%</t>
        </is>
      </c>
      <c r="F50" s="109" t="inlineStr">
        <is>
          <t>S-03; S-14</t>
        </is>
      </c>
      <c r="G50" s="94" t="inlineStr">
        <is>
          <t>2026</t>
        </is>
      </c>
      <c r="H50" s="110" t="inlineStr">
        <is>
          <t>share of operating IT load (national)</t>
        </is>
      </c>
      <c r="I50" s="109" t="inlineStr">
        <is>
          <t>A metro's proportion of national operating IT load.</t>
        </is>
      </c>
    </row>
    <row r="51">
      <c r="A51" s="106" t="n">
        <v>44</v>
      </c>
      <c r="B51" s="105" t="inlineStr">
        <is>
          <t>growth-mordor-capacity</t>
        </is>
      </c>
      <c r="C51" s="96" t="inlineStr">
        <is>
          <t>rate</t>
        </is>
      </c>
      <c r="D51" s="105" t="inlineStr">
        <is>
          <t>mordor-capacity-national</t>
        </is>
      </c>
      <c r="E51" s="108" t="inlineStr">
        <is>
          <t>%</t>
        </is>
      </c>
      <c r="F51" s="109" t="inlineStr">
        <is>
          <t>S-05</t>
        </is>
      </c>
      <c r="G51" s="94" t="inlineStr">
        <is>
          <t>Jan 2026</t>
        </is>
      </c>
      <c r="H51" s="110" t="inlineStr">
        <is>
          <t>growth rate - MW - Mordor capacity basis</t>
        </is>
      </c>
      <c r="I51" s="109" t="inlineStr">
        <is>
          <t>A compound growth rate measured on the Mordor capacity basis. It may be applied to that basis and to nothing else.</t>
        </is>
      </c>
    </row>
    <row r="52">
      <c r="A52" s="106" t="n">
        <v>45</v>
      </c>
      <c r="B52" s="105" t="inlineStr">
        <is>
          <t>growth-operating-it-load</t>
        </is>
      </c>
      <c r="C52" s="96" t="inlineStr">
        <is>
          <t>rate</t>
        </is>
      </c>
      <c r="D52" s="105" t="inlineStr">
        <is>
          <t>operating-it-load-national</t>
        </is>
      </c>
      <c r="E52" s="108" t="inlineStr">
        <is>
          <t>%</t>
        </is>
      </c>
      <c r="F52" s="109" t="inlineStr">
        <is>
          <t>S-08; S-09</t>
        </is>
      </c>
      <c r="G52" s="94" t="inlineStr">
        <is>
          <t>2026</t>
        </is>
      </c>
      <c r="H52" s="110" t="inlineStr">
        <is>
          <t>growth rate - MW - operating IT load (national)</t>
        </is>
      </c>
      <c r="I52" s="109" t="inlineStr">
        <is>
          <t>A compound growth rate measured on operating IT load.</t>
        </is>
      </c>
    </row>
    <row r="53">
      <c r="A53" s="106" t="n">
        <v>46</v>
      </c>
      <c r="B53" s="105" t="inlineStr">
        <is>
          <t>growth-core-services-revenue</t>
        </is>
      </c>
      <c r="C53" s="96" t="inlineStr">
        <is>
          <t>rate</t>
        </is>
      </c>
      <c r="D53" s="105" t="inlineStr">
        <is>
          <t>anzsic-core-services-revenue</t>
        </is>
      </c>
      <c r="E53" s="108" t="inlineStr">
        <is>
          <t>%</t>
        </is>
      </c>
      <c r="F53" s="109" t="inlineStr">
        <is>
          <t>S-01; S-02; S-04</t>
        </is>
      </c>
      <c r="G53" s="94" t="inlineStr">
        <is>
          <t>Mar 2026</t>
        </is>
      </c>
      <c r="H53" s="110" t="inlineStr">
        <is>
          <t>growth rate - A$bn - ANZSIC J5921+OD5323 services revenue</t>
        </is>
      </c>
      <c r="I53" s="109" t="inlineStr">
        <is>
          <t>A growth rate measured on the combined ANZSIC services revenue scope.</t>
        </is>
      </c>
    </row>
    <row r="54">
      <c r="A54" s="106" t="n">
        <v>47</v>
      </c>
      <c r="B54" s="105" t="inlineStr">
        <is>
          <t>growth-j5921-revenue</t>
        </is>
      </c>
      <c r="C54" s="96" t="inlineStr">
        <is>
          <t>rate</t>
        </is>
      </c>
      <c r="D54" s="105" t="inlineStr">
        <is>
          <t>anzsic-j5921-revenue</t>
        </is>
      </c>
      <c r="E54" s="108" t="inlineStr">
        <is>
          <t>%</t>
        </is>
      </c>
      <c r="F54" s="109" t="inlineStr">
        <is>
          <t>S-01</t>
        </is>
      </c>
      <c r="G54" s="94" t="inlineStr">
        <is>
          <t>Oct 2025</t>
        </is>
      </c>
      <c r="H54" s="110" t="inlineStr">
        <is>
          <t>growth rate - A$bn - ANZSIC J5921 revenue</t>
        </is>
      </c>
      <c r="I54" s="109" t="inlineStr">
        <is>
          <t>IBISWorld's own historic compound rate for J5921.</t>
        </is>
      </c>
    </row>
    <row r="55">
      <c r="A55" s="106" t="n">
        <v>48</v>
      </c>
      <c r="B55" s="105" t="inlineStr">
        <is>
          <t>growth-rnm-market-revenue</t>
        </is>
      </c>
      <c r="C55" s="96" t="inlineStr">
        <is>
          <t>rate</t>
        </is>
      </c>
      <c r="D55" s="105" t="inlineStr">
        <is>
          <t>researchandmarkets-market-revenue</t>
        </is>
      </c>
      <c r="E55" s="108" t="inlineStr">
        <is>
          <t>%</t>
        </is>
      </c>
      <c r="F55" s="109" t="inlineStr">
        <is>
          <t>S-04</t>
        </is>
      </c>
      <c r="G55" s="94" t="inlineStr">
        <is>
          <t>2026</t>
        </is>
      </c>
      <c r="H55" s="110" t="inlineStr">
        <is>
          <t>growth rate - US$bn - ResearchAndMarkets market scope</t>
        </is>
      </c>
      <c r="I55" s="109" t="inlineStr">
        <is>
          <t>ResearchAndMarkets' own forecast rate on its own scope.</t>
        </is>
      </c>
    </row>
    <row r="56">
      <c r="A56" s="106" t="n">
        <v>49</v>
      </c>
      <c r="B56" s="105" t="inlineStr">
        <is>
          <t>growth-nextdc-total-revenue</t>
        </is>
      </c>
      <c r="C56" s="96" t="inlineStr">
        <is>
          <t>rate</t>
        </is>
      </c>
      <c r="D56" s="105" t="inlineStr">
        <is>
          <t>nextdc-total-revenue</t>
        </is>
      </c>
      <c r="E56" s="108" t="inlineStr">
        <is>
          <t>%</t>
        </is>
      </c>
      <c r="F56" s="109" t="inlineStr">
        <is>
          <t>S-22; S-23</t>
        </is>
      </c>
      <c r="G56" s="94" t="inlineStr">
        <is>
          <t>FY26</t>
        </is>
      </c>
      <c r="H56" s="110" t="inlineStr">
        <is>
          <t>growth rate - A$m - NEXTDC total revenue (reported, incl. power pass-through)</t>
        </is>
      </c>
      <c r="I56" s="109" t="inlineStr">
        <is>
          <t>Year on year growth in NEXTDC's reported total revenue.</t>
        </is>
      </c>
    </row>
    <row r="57">
      <c r="A57" s="106" t="n">
        <v>50</v>
      </c>
      <c r="B57" s="105" t="inlineStr">
        <is>
          <t>growth-infratil-cdc-valuation</t>
        </is>
      </c>
      <c r="C57" s="96" t="inlineStr">
        <is>
          <t>rate</t>
        </is>
      </c>
      <c r="D57" s="105" t="inlineStr">
        <is>
          <t>infratil-cdc-valuation</t>
        </is>
      </c>
      <c r="E57" s="108" t="inlineStr">
        <is>
          <t>%</t>
        </is>
      </c>
      <c r="F57" s="109" t="inlineStr">
        <is>
          <t>S-25; S-26</t>
        </is>
      </c>
      <c r="G57" s="94" t="inlineStr">
        <is>
          <t>30 Jun 2026</t>
        </is>
      </c>
      <c r="H57" s="110" t="inlineStr">
        <is>
          <t>growth rate - A$bn - independent valuation (Infratil disclosure)</t>
        </is>
      </c>
      <c r="I57" s="109" t="inlineStr">
        <is>
          <t>Movement between two consecutive independent valuations of the same asset.</t>
        </is>
      </c>
    </row>
    <row r="58">
      <c r="A58" s="106" t="n">
        <v>51</v>
      </c>
      <c r="B58" s="105" t="inlineStr">
        <is>
          <t>change-nextdc-share-price</t>
        </is>
      </c>
      <c r="C58" s="96" t="inlineStr">
        <is>
          <t>rate</t>
        </is>
      </c>
      <c r="D58" s="94" t="inlineStr">
        <is>
          <t>nextdc-share-price</t>
        </is>
      </c>
      <c r="E58" s="108" t="inlineStr">
        <is>
          <t>%</t>
        </is>
      </c>
      <c r="F58" s="109" t="inlineStr">
        <is>
          <t>S-21; S-41</t>
        </is>
      </c>
      <c r="G58" s="94" t="inlineStr">
        <is>
          <t>16 Sep 2026</t>
        </is>
      </c>
      <c r="H58" s="110" t="inlineStr">
        <is>
          <t>change - A$ per NEXTDC share, consensus target over close</t>
        </is>
      </c>
      <c r="I58" s="109" t="inlineStr">
        <is>
          <t>The consensus target against the quoted close. Same measurement at both ends, expressed as a proportional change.</t>
        </is>
      </c>
    </row>
    <row r="59">
      <c r="A59" s="106" t="n">
        <v>52</v>
      </c>
      <c r="B59" s="105" t="inlineStr">
        <is>
          <t>net-revenue-to-gross-profit-conversion</t>
        </is>
      </c>
      <c r="C59" s="96" t="inlineStr">
        <is>
          <t>conversion</t>
        </is>
      </c>
      <c r="D59" s="107" t="inlineStr"/>
      <c r="E59" s="108" t="inlineStr">
        <is>
          <t>%</t>
        </is>
      </c>
      <c r="F59" s="109" t="inlineStr">
        <is>
          <t>S-22; S-41</t>
        </is>
      </c>
      <c r="G59" s="94" t="inlineStr">
        <is>
          <t>FY26</t>
        </is>
      </c>
      <c r="H59" s="110" t="inlineStr">
        <is>
          <t>conversion factor - NEXTDC net revenue to gross profit</t>
        </is>
      </c>
      <c r="I59" s="109" t="inlineStr">
        <is>
          <t>The declared factor that carries NEXTDC's net revenue onto the reported-earnings basis in the margin bridge. Held at Assumptions #40.</t>
        </is>
      </c>
    </row>
    <row r="60">
      <c r="A60" s="106" t="n">
        <v>53</v>
      </c>
      <c r="B60" s="105" t="inlineStr">
        <is>
          <t>researchandmarkets-market-revenue-aud</t>
        </is>
      </c>
      <c r="C60" s="96" t="inlineStr">
        <is>
          <t>quantity</t>
        </is>
      </c>
      <c r="D60" s="107" t="inlineStr"/>
      <c r="E60" s="108" t="inlineStr">
        <is>
          <t>A$bn</t>
        </is>
      </c>
      <c r="F60" s="109" t="inlineStr">
        <is>
          <t>S-04; S-03</t>
        </is>
      </c>
      <c r="G60" s="94" t="inlineStr">
        <is>
          <t>2026</t>
        </is>
      </c>
      <c r="H60" s="110" t="inlineStr">
        <is>
          <t>A$bn - ResearchAndMarkets market scope, converted at the FX assumption</t>
        </is>
      </c>
      <c r="I60" s="109" t="inlineStr">
        <is>
          <t>The ResearchAndMarkets figure restated in Australian dollars. A different number from the US dollar figure and from the ANZSIC series, and named so it cannot be read as either.</t>
        </is>
      </c>
    </row>
    <row r="61">
      <c r="A61" s="106" t="n">
        <v>54</v>
      </c>
      <c r="B61" s="105" t="inlineStr">
        <is>
          <t>pipeline-over-operating-multiple</t>
        </is>
      </c>
      <c r="C61" s="96" t="inlineStr">
        <is>
          <t>quantity</t>
        </is>
      </c>
      <c r="D61" s="107" t="inlineStr"/>
      <c r="E61" s="108" t="inlineStr">
        <is>
          <t>x</t>
        </is>
      </c>
      <c r="F61" s="109" t="inlineStr">
        <is>
          <t>S-15; S-16; S-39; S-45; S-46</t>
        </is>
      </c>
      <c r="G61" s="94" t="inlineStr">
        <is>
          <t>Sep 2026</t>
        </is>
      </c>
      <c r="H61" s="110" t="inlineStr">
        <is>
          <t>x - announced pipeline over operating IT load, same metro</t>
        </is>
      </c>
      <c r="I61" s="109" t="inlineStr">
        <is>
          <t>A metro's announced pipeline against what it already runs. The two ends are on different definitions on purpose: the measurement is how much bigger the announcements are than the plant.</t>
        </is>
      </c>
    </row>
    <row r="62">
      <c r="A62" s="106" t="n">
        <v>55</v>
      </c>
      <c r="B62" s="105" t="inlineStr">
        <is>
          <t>nsw-pipeline-dc-byte</t>
        </is>
      </c>
      <c r="C62" s="96" t="inlineStr">
        <is>
          <t>quantity</t>
        </is>
      </c>
      <c r="D62" s="107" t="inlineStr"/>
      <c r="E62" s="108" t="inlineStr">
        <is>
          <t>MW</t>
        </is>
      </c>
      <c r="F62" s="109" t="inlineStr">
        <is>
          <t>S-12</t>
        </is>
      </c>
      <c r="G62" s="94" t="inlineStr">
        <is>
          <t>31 Mar 2026</t>
        </is>
      </c>
      <c r="H62" s="110" t="inlineStr">
        <is>
          <t>MW - announced project capacity (NSW, DC Byte count)</t>
        </is>
      </c>
      <c r="I62" s="109" t="inlineStr">
        <is>
          <t>DC Byte's New South Wales project count, reported by the Climate Council. A different universe from the project table here and carried only as context.</t>
        </is>
      </c>
    </row>
    <row r="63">
      <c r="A63" s="106" t="n">
        <v>56</v>
      </c>
      <c r="B63" s="105" t="inlineStr">
        <is>
          <t>grid-connection-requests</t>
        </is>
      </c>
      <c r="C63" s="96" t="inlineStr">
        <is>
          <t>quantity</t>
        </is>
      </c>
      <c r="D63" s="107" t="inlineStr"/>
      <c r="E63" s="108" t="inlineStr">
        <is>
          <t>MW</t>
        </is>
      </c>
      <c r="F63" s="109" t="inlineStr">
        <is>
          <t>S-09; S-33</t>
        </is>
      </c>
      <c r="G63" s="94" t="inlineStr">
        <is>
          <t>2025</t>
        </is>
      </c>
      <c r="H63" s="110" t="inlineStr">
        <is>
          <t>MW - grid connection requests (not capacity)</t>
        </is>
      </c>
      <c r="I63" s="109" t="inlineStr">
        <is>
          <t>Megawatts requested of the grid. A request is not a project and not capacity; AEMO's own commentary is that most of it is phantom demand.</t>
        </is>
      </c>
    </row>
    <row r="64">
      <c r="A64" s="106" t="n">
        <v>57</v>
      </c>
      <c r="B64" s="105" t="inlineStr">
        <is>
          <t>built-out-capacity-m3</t>
        </is>
      </c>
      <c r="C64" s="96" t="inlineStr">
        <is>
          <t>quantity</t>
        </is>
      </c>
      <c r="D64" s="107" t="inlineStr"/>
      <c r="E64" s="108" t="inlineStr">
        <is>
          <t>MW</t>
        </is>
      </c>
      <c r="F64" s="109" t="inlineStr">
        <is>
          <t>S-11</t>
        </is>
      </c>
      <c r="G64" s="94" t="inlineStr">
        <is>
          <t>Nov 2025</t>
        </is>
      </c>
      <c r="H64" s="110" t="inlineStr">
        <is>
          <t>MW - built-out capacity (M3 basis)</t>
        </is>
      </c>
      <c r="I64" s="109" t="inlineStr">
        <is>
          <t>M3 Property's built-out capacity series, whose 2025 value is about 2,000 MW against the 1,350 MW operating IT load. Its own basis, carried and never blended.</t>
        </is>
      </c>
    </row>
    <row r="65">
      <c r="A65" s="106" t="n">
        <v>58</v>
      </c>
      <c r="B65" s="105" t="inlineStr">
        <is>
          <t>built-it-load-knight-frank</t>
        </is>
      </c>
      <c r="C65" s="96" t="inlineStr">
        <is>
          <t>quantity</t>
        </is>
      </c>
      <c r="D65" s="107" t="inlineStr"/>
      <c r="E65" s="108" t="inlineStr">
        <is>
          <t>MW</t>
        </is>
      </c>
      <c r="F65" s="109" t="inlineStr">
        <is>
          <t>S-19</t>
        </is>
      </c>
      <c r="G65" s="94" t="inlineStr">
        <is>
          <t>2025</t>
        </is>
      </c>
      <c r="H65" s="110" t="inlineStr">
        <is>
          <t>MW - built IT load (Knight Frank basis)</t>
        </is>
      </c>
      <c r="I65" s="109" t="inlineStr">
        <is>
          <t>Knight Frank's built IT load figure. The source PDF is poorly recognised and is a declared data gap; the figure is carried as context and nothing computes from it.</t>
        </is>
      </c>
    </row>
    <row r="66">
      <c r="A66" s="106" t="n">
        <v>59</v>
      </c>
      <c r="B66" s="105" t="inlineStr">
        <is>
          <t>pipeline-to-operating-conversion</t>
        </is>
      </c>
      <c r="C66" s="96" t="inlineStr">
        <is>
          <t>conversion</t>
        </is>
      </c>
      <c r="D66" s="107" t="inlineStr"/>
      <c r="E66" s="108" t="inlineStr">
        <is>
          <t>MW/MW</t>
        </is>
      </c>
      <c r="F66" s="109" t="inlineStr">
        <is>
          <t>S-11; S-15; S-16; S-20; S-29; S-32; S-35; S-39; S-45; S-46</t>
        </is>
      </c>
      <c r="G66" s="94" t="inlineStr">
        <is>
          <t>21 Sep 2026</t>
        </is>
      </c>
      <c r="H66" s="110" t="inlineStr">
        <is>
          <t>conversion factor - announced project capacity to operating IT load (national)</t>
        </is>
      </c>
      <c r="I66" s="109" t="inlineStr">
        <is>
          <t>The declared factor that carries announced project megawatts onto the operating IT load basis. Its value, its reasoning and its stated limit are at Assumptions #41.</t>
        </is>
      </c>
    </row>
    <row r="67">
      <c r="A67" s="106" t="n">
        <v>60</v>
      </c>
      <c r="B67" s="105" t="inlineStr">
        <is>
          <t>calendar-year</t>
        </is>
      </c>
      <c r="C67" s="96" t="inlineStr">
        <is>
          <t>index</t>
        </is>
      </c>
      <c r="D67" s="107" t="inlineStr"/>
      <c r="E67" s="108" t="inlineStr">
        <is>
          <t>year</t>
        </is>
      </c>
      <c r="F67" s="109" t="inlineStr">
        <is>
          <t>n/a — a date, not a measurement</t>
        </is>
      </c>
      <c r="G67" s="94" t="inlineStr">
        <is>
          <t>2026</t>
        </is>
      </c>
      <c r="H67" s="110" t="inlineStr">
        <is>
          <t>index - calendar year</t>
        </is>
      </c>
      <c r="I67" s="109" t="inlineStr">
        <is>
          <t>A year used as a column heading or as an interpolation index. It measures nothing, so it neither carries nor confers a basis.</t>
        </is>
      </c>
    </row>
    <row r="68">
      <c r="A68" s="106" t="n">
        <v>61</v>
      </c>
      <c r="B68" s="105" t="inlineStr">
        <is>
          <t>scenario-selector</t>
        </is>
      </c>
      <c r="C68" s="96" t="inlineStr">
        <is>
          <t>index</t>
        </is>
      </c>
      <c r="D68" s="107" t="inlineStr"/>
      <c r="E68" s="108" t="inlineStr">
        <is>
          <t>1/2/3</t>
        </is>
      </c>
      <c r="F68" s="109" t="inlineStr">
        <is>
          <t>n/a — a switch, not a measurement</t>
        </is>
      </c>
      <c r="G68" s="94" t="inlineStr">
        <is>
          <t>21 Sep 2026</t>
        </is>
      </c>
      <c r="H68" s="110" t="inlineStr">
        <is>
          <t>index - scenario selector</t>
        </is>
      </c>
      <c r="I68" s="109" t="inlineStr">
        <is>
          <t>The bear / base / bull switch at Assumptions!C4.</t>
        </is>
      </c>
    </row>
    <row r="69">
      <c r="A69" s="106" t="n">
        <v>62</v>
      </c>
      <c r="B69" s="105" t="inlineStr">
        <is>
          <t>project-count</t>
        </is>
      </c>
      <c r="C69" s="96" t="inlineStr">
        <is>
          <t>index</t>
        </is>
      </c>
      <c r="D69" s="107" t="inlineStr"/>
      <c r="E69" s="108" t="inlineStr">
        <is>
          <t>count</t>
        </is>
      </c>
      <c r="F69" s="109" t="inlineStr">
        <is>
          <t>S-15; S-16; S-39; S-45; S-46; S-47</t>
        </is>
      </c>
      <c r="G69" s="94" t="inlineStr">
        <is>
          <t>Sep 2026</t>
        </is>
      </c>
      <c r="H69" s="110" t="inlineStr">
        <is>
          <t>count - dossier §6.1 project universe</t>
        </is>
      </c>
      <c r="I69" s="109" t="inlineStr">
        <is>
          <t>A count of rows in the project table. A count of things is not a measurement of them.</t>
        </is>
      </c>
    </row>
    <row r="70"/>
    <row r="71">
      <c r="A71" s="93" t="inlineStr">
        <is>
          <t>B. Conversions — the only sanctioned way a quantity changes basis</t>
        </is>
      </c>
      <c r="B71" s="93" t="n"/>
      <c r="C71" s="93" t="n"/>
      <c r="D71" s="93" t="n"/>
      <c r="E71" s="93" t="n"/>
      <c r="F71" s="93" t="n"/>
      <c r="G71" s="93" t="n"/>
      <c r="H71" s="93" t="n"/>
      <c r="I71" s="93" t="n"/>
    </row>
    <row r="72">
      <c r="A72" s="95" t="inlineStr">
        <is>
          <t>#</t>
        </is>
      </c>
      <c r="B72" s="95" t="inlineStr">
        <is>
          <t>From basis</t>
        </is>
      </c>
      <c r="C72" s="95" t="inlineStr">
        <is>
          <t>To basis</t>
        </is>
      </c>
      <c r="D72" s="95" t="inlineStr">
        <is>
          <t>Factor cell</t>
        </is>
      </c>
      <c r="E72" s="95" t="inlineStr">
        <is>
          <t>Source #</t>
        </is>
      </c>
      <c r="F72" s="95" t="inlineStr">
        <is>
          <t>As at</t>
        </is>
      </c>
      <c r="G72" s="95" t="inlineStr">
        <is>
          <t>Why it exists</t>
        </is>
      </c>
    </row>
    <row r="73">
      <c r="A73" s="106" t="n">
        <v>1</v>
      </c>
      <c r="B73" s="105" t="inlineStr">
        <is>
          <t>nextdc-net-revenue</t>
        </is>
      </c>
      <c r="C73" s="105" t="inlineStr">
        <is>
          <t>nextdc-reported-earnings</t>
        </is>
      </c>
      <c r="D73" s="105" t="inlineStr">
        <is>
          <t>Assumptions!E46</t>
        </is>
      </c>
      <c r="E73" s="109" t="inlineStr">
        <is>
          <t>S-22; S-41</t>
        </is>
      </c>
      <c r="F73" s="94" t="inlineStr">
        <is>
          <t>FY26</t>
        </is>
      </c>
      <c r="G73" s="109" t="inlineStr">
        <is>
          <t>The margin bridge steps from net revenue to gross profit. Those are two measurements and the step between them was a constant inside the formula until 21 September 2026. It is a cell now, so it can be sourced, argued with and checked.</t>
        </is>
      </c>
    </row>
    <row r="74">
      <c r="A74" s="106" t="n">
        <v>2</v>
      </c>
      <c r="B74" s="105" t="inlineStr">
        <is>
          <t>announced-project-capacity</t>
        </is>
      </c>
      <c r="C74" s="105" t="inlineStr">
        <is>
          <t>operating-it-load-national</t>
        </is>
      </c>
      <c r="D74" s="105" t="inlineStr">
        <is>
          <t>Assumptions!E47</t>
        </is>
      </c>
      <c r="E74" s="109" t="inlineStr">
        <is>
          <t>S-11; S-15; S-16; S-20; S-29; S-32; S-35; S-39; S-45; S-46</t>
        </is>
      </c>
      <c r="F74" s="94" t="inlineStr">
        <is>
          <t>21 Sep 2026</t>
        </is>
      </c>
      <c r="G74" s="109" t="inlineStr">
        <is>
          <t>The bottom-up 2030 build adds a 2025 installed base to a probability-weighted slice of the announced pipeline. Those are two different measurements and the sum of them is meaningless without a stated conversion. This is the stated conversion. It is a cell, so it can be argued with, sourced, and moved; a number written inside the formula could be none of those.</t>
        </is>
      </c>
    </row>
    <row r="75"/>
    <row r="76">
      <c r="A76" s="93" t="inlineStr">
        <is>
          <t>C. Compositions — products, ratios and sums that are themselves a measurement</t>
        </is>
      </c>
      <c r="B76" s="93" t="n"/>
      <c r="C76" s="93" t="n"/>
      <c r="D76" s="93" t="n"/>
      <c r="E76" s="93" t="n"/>
      <c r="F76" s="93" t="n"/>
      <c r="G76" s="93" t="n"/>
      <c r="H76" s="93" t="n"/>
      <c r="I76" s="93" t="n"/>
    </row>
    <row r="77">
      <c r="A77" s="95" t="inlineStr">
        <is>
          <t>#</t>
        </is>
      </c>
      <c r="B77" s="95" t="inlineStr">
        <is>
          <t>Left basis</t>
        </is>
      </c>
      <c r="C77" s="95" t="inlineStr">
        <is>
          <t>Op</t>
        </is>
      </c>
      <c r="D77" s="95" t="inlineStr">
        <is>
          <t>Right basis</t>
        </is>
      </c>
      <c r="E77" s="95" t="inlineStr">
        <is>
          <t>Result basis</t>
        </is>
      </c>
      <c r="F77" s="95" t="inlineStr">
        <is>
          <t>Why it is nameable</t>
        </is>
      </c>
    </row>
    <row r="78">
      <c r="A78" s="106" t="n">
        <v>1</v>
      </c>
      <c r="B78" s="105" t="inlineStr">
        <is>
          <t>anzsic-j5921-revenue</t>
        </is>
      </c>
      <c r="C78" s="105" t="inlineStr">
        <is>
          <t>+</t>
        </is>
      </c>
      <c r="D78" s="105" t="inlineStr">
        <is>
          <t>anzsic-od5323-revenue</t>
        </is>
      </c>
      <c r="E78" s="110" t="inlineStr">
        <is>
          <t>anzsic-core-services-revenue</t>
        </is>
      </c>
      <c r="F78" s="109" t="inlineStr">
        <is>
          <t>Two ANZSIC classes summed into the published core-revenue scope. Declared, because adding two different classifications creates a third and the result should be named rather than assumed.</t>
        </is>
      </c>
    </row>
    <row r="79">
      <c r="A79" s="106" t="n">
        <v>2</v>
      </c>
      <c r="B79" s="105" t="inlineStr">
        <is>
          <t>colocation-price-250-500kw</t>
        </is>
      </c>
      <c r="C79" s="105" t="inlineStr">
        <is>
          <t>/</t>
        </is>
      </c>
      <c r="D79" s="105" t="inlineStr">
        <is>
          <t>fx-usd-per-aud</t>
        </is>
      </c>
      <c r="E79" s="110" t="inlineStr">
        <is>
          <t>colocation-revenue-per-mw-year</t>
        </is>
      </c>
      <c r="F79" s="109" t="inlineStr">
        <is>
          <t>A US dollar price per kilowatt month, converted and annualised, is an Australian dollar revenue per megawatt year.</t>
        </is>
      </c>
    </row>
    <row r="80">
      <c r="A80" s="106" t="n">
        <v>3</v>
      </c>
      <c r="B80" s="105" t="inlineStr">
        <is>
          <t>operating-it-load-national</t>
        </is>
      </c>
      <c r="C80" s="105" t="inlineStr">
        <is>
          <t>*</t>
        </is>
      </c>
      <c r="D80" s="105" t="inlineStr">
        <is>
          <t>colocation-revenue-per-mw-year</t>
        </is>
      </c>
      <c r="E80" s="110" t="inlineStr">
        <is>
          <t>upper-bound-colocation-revenue</t>
        </is>
      </c>
      <c r="F80" s="109" t="inlineStr">
        <is>
          <t>Megawatts times revenue per megawatt is revenue. The product is the retail-priced ceiling and is labelled as one.</t>
        </is>
      </c>
    </row>
    <row r="81">
      <c r="A81" s="106" t="n">
        <v>4</v>
      </c>
      <c r="B81" s="105" t="inlineStr">
        <is>
          <t>upper-bound-colocation-revenue</t>
        </is>
      </c>
      <c r="C81" s="105" t="inlineStr">
        <is>
          <t>/</t>
        </is>
      </c>
      <c r="D81" s="105" t="inlineStr">
        <is>
          <t>anzsic-core-services-revenue</t>
        </is>
      </c>
      <c r="E81" s="110" t="inlineStr">
        <is>
          <t>upper-bound-over-core-services</t>
        </is>
      </c>
      <c r="F81" s="109" t="inlineStr">
        <is>
          <t>The ceiling over the published series. The gap between them is the measurement.</t>
        </is>
      </c>
    </row>
    <row r="82">
      <c r="A82" s="106" t="n">
        <v>5</v>
      </c>
      <c r="B82" s="105" t="inlineStr">
        <is>
          <t>ebitda-per-mw-it-load-year</t>
        </is>
      </c>
      <c r="C82" s="105" t="inlineStr">
        <is>
          <t>/</t>
        </is>
      </c>
      <c r="D82" s="105" t="inlineStr">
        <is>
          <t>colocation-revenue-per-mw-year</t>
        </is>
      </c>
      <c r="E82" s="110" t="inlineStr">
        <is>
          <t>asset-ebitda-margin</t>
        </is>
      </c>
      <c r="F82" s="109" t="inlineStr">
        <is>
          <t>Earnings per megawatt over revenue per megawatt, same denominator, is a margin.</t>
        </is>
      </c>
    </row>
    <row r="83">
      <c r="A83" s="106" t="n">
        <v>6</v>
      </c>
      <c r="B83" s="105" t="inlineStr">
        <is>
          <t>project-capex-announced</t>
        </is>
      </c>
      <c r="C83" s="105" t="inlineStr">
        <is>
          <t>/</t>
        </is>
      </c>
      <c r="D83" s="105" t="inlineStr">
        <is>
          <t>announced-project-capacity</t>
        </is>
      </c>
      <c r="E83" s="110" t="inlineStr">
        <is>
          <t>capex-per-mw-it-load</t>
        </is>
      </c>
      <c r="F83" s="109" t="inlineStr">
        <is>
          <t>Announced capex over that project's announced megawatts is capital intensity.</t>
        </is>
      </c>
    </row>
    <row r="84">
      <c r="A84" s="106" t="n">
        <v>7</v>
      </c>
      <c r="B84" s="105" t="inlineStr">
        <is>
          <t>nextdc-billing-utilisation</t>
        </is>
      </c>
      <c r="C84" s="105" t="inlineStr">
        <is>
          <t>/</t>
        </is>
      </c>
      <c r="D84" s="105" t="inlineStr">
        <is>
          <t>nextdc-contracted-utilisation</t>
        </is>
      </c>
      <c r="E84" s="110" t="inlineStr">
        <is>
          <t>billing-to-contracted-conversion</t>
        </is>
      </c>
      <c r="F84" s="109" t="inlineStr">
        <is>
          <t>Two disclosed NEXTDC definitions of the same capacity. Their ratio is the lag between them and is published as such.</t>
        </is>
      </c>
    </row>
    <row r="85">
      <c r="A85" s="106" t="n">
        <v>8</v>
      </c>
      <c r="B85" s="105" t="inlineStr">
        <is>
          <t>nextdc-reported-earnings</t>
        </is>
      </c>
      <c r="C85" s="105" t="inlineStr">
        <is>
          <t>/</t>
        </is>
      </c>
      <c r="D85" s="105" t="inlineStr">
        <is>
          <t>nextdc-net-revenue</t>
        </is>
      </c>
      <c r="E85" s="110" t="inlineStr">
        <is>
          <t>nextdc-margin-on-net-revenue</t>
        </is>
      </c>
      <c r="F85" s="109" t="inlineStr">
        <is>
          <t>An earnings line over net revenue is the margin the company reports on.</t>
        </is>
      </c>
    </row>
    <row r="86">
      <c r="A86" s="106" t="n">
        <v>9</v>
      </c>
      <c r="B86" s="105" t="inlineStr">
        <is>
          <t>nextdc-reported-earnings</t>
        </is>
      </c>
      <c r="C86" s="105" t="inlineStr">
        <is>
          <t>/</t>
        </is>
      </c>
      <c r="D86" s="105" t="inlineStr">
        <is>
          <t>nextdc-total-revenue</t>
        </is>
      </c>
      <c r="E86" s="110" t="inlineStr">
        <is>
          <t>nextdc-margin-on-total-revenue</t>
        </is>
      </c>
      <c r="F86" s="109" t="inlineStr">
        <is>
          <t>The same earnings line over the gross-of-pass-through denominator. A different number and a different measurement, which is why it is named separately.</t>
        </is>
      </c>
    </row>
    <row r="87">
      <c r="A87" s="106" t="n">
        <v>10</v>
      </c>
      <c r="B87" s="105" t="inlineStr">
        <is>
          <t>nextdc-total-revenue</t>
        </is>
      </c>
      <c r="C87" s="105" t="inlineStr">
        <is>
          <t>/</t>
        </is>
      </c>
      <c r="D87" s="105" t="inlineStr">
        <is>
          <t>nextdc-net-revenue</t>
        </is>
      </c>
      <c r="E87" s="110" t="inlineStr">
        <is>
          <t>nextdc-gross-to-net-revenue</t>
        </is>
      </c>
      <c r="F87" s="109" t="inlineStr">
        <is>
          <t>How much of reported revenue is recovered power.</t>
        </is>
      </c>
    </row>
    <row r="88">
      <c r="A88" s="106" t="n">
        <v>11</v>
      </c>
      <c r="B88" s="105" t="inlineStr">
        <is>
          <t>transaction-enterprise-value</t>
        </is>
      </c>
      <c r="C88" s="105" t="inlineStr">
        <is>
          <t>/</t>
        </is>
      </c>
      <c r="D88" s="105" t="inlineStr">
        <is>
          <t>transaction-ebitda-multiple</t>
        </is>
      </c>
      <c r="E88" s="110" t="inlineStr">
        <is>
          <t>transaction-implied-ebitda</t>
        </is>
      </c>
      <c r="F88" s="109" t="inlineStr">
        <is>
          <t>A price divided by the multiple the reporter applied returns the earnings that price implies.</t>
        </is>
      </c>
    </row>
    <row r="89">
      <c r="A89" s="106" t="n">
        <v>12</v>
      </c>
      <c r="B89" s="105" t="inlineStr">
        <is>
          <t>operating-it-load-national</t>
        </is>
      </c>
      <c r="C89" s="105" t="inlineStr">
        <is>
          <t>/</t>
        </is>
      </c>
      <c r="D89" s="105" t="inlineStr">
        <is>
          <t>mordor-capacity-national</t>
        </is>
      </c>
      <c r="E89" s="110" t="inlineStr">
        <is>
          <t>operating-over-mordor-capacity</t>
        </is>
      </c>
      <c r="F89" s="109" t="inlineStr">
        <is>
          <t>The one ratio in this model that crosses two capacity definitions on purpose. It is a disclosure of the distance between them, it is named, and nothing computes from it except the restatement memo below.</t>
        </is>
      </c>
    </row>
    <row r="90">
      <c r="A90" s="106" t="n">
        <v>13</v>
      </c>
      <c r="B90" s="105" t="inlineStr">
        <is>
          <t>listed-ev-ebitda-multiple</t>
        </is>
      </c>
      <c r="C90" s="105" t="inlineStr">
        <is>
          <t>*</t>
        </is>
      </c>
      <c r="D90" s="105" t="inlineStr">
        <is>
          <t>nextdc-reported-earnings</t>
        </is>
      </c>
      <c r="E90" s="110" t="inlineStr">
        <is>
          <t>nextdc-implied-enterprise-value</t>
        </is>
      </c>
      <c r="F90" s="109" t="inlineStr">
        <is>
          <t>The EBITDA multiple applied to the earnings line it was quoted against returns an enterprise value. Applied to revenue it would return nothing nameable, and section C does not name it.</t>
        </is>
      </c>
    </row>
    <row r="91">
      <c r="A91" s="106" t="n">
        <v>14</v>
      </c>
      <c r="B91" s="105" t="inlineStr">
        <is>
          <t>listed-ev-revenue-multiple</t>
        </is>
      </c>
      <c r="C91" s="105" t="inlineStr">
        <is>
          <t>*</t>
        </is>
      </c>
      <c r="D91" s="105" t="inlineStr">
        <is>
          <t>nextdc-total-revenue</t>
        </is>
      </c>
      <c r="E91" s="110" t="inlineStr">
        <is>
          <t>nextdc-implied-enterprise-value</t>
        </is>
      </c>
      <c r="F91" s="109" t="inlineStr">
        <is>
          <t>The revenue multiple applied to the revenue line it was quoted against.</t>
        </is>
      </c>
    </row>
    <row r="92">
      <c r="A92" s="106" t="n">
        <v>15</v>
      </c>
      <c r="B92" s="105" t="inlineStr">
        <is>
          <t>infratil-cdc-valuation</t>
        </is>
      </c>
      <c r="C92" s="105" t="inlineStr">
        <is>
          <t>/</t>
        </is>
      </c>
      <c r="D92" s="105" t="inlineStr">
        <is>
          <t>ebitda-per-mw-it-load-year</t>
        </is>
      </c>
      <c r="E92" s="110" t="inlineStr">
        <is>
          <t>cdc-ev-over-contracted-ebitda</t>
        </is>
      </c>
      <c r="F92" s="109" t="inlineStr">
        <is>
          <t>A valuation over the earnings a deployed gigawatt would carry. Named so it cannot be read as a current trading multiple.</t>
        </is>
      </c>
    </row>
    <row r="93">
      <c r="A93" s="106" t="n">
        <v>16</v>
      </c>
      <c r="B93" s="105" t="inlineStr">
        <is>
          <t>ebitda-per-mw-it-load-year</t>
        </is>
      </c>
      <c r="C93" s="105" t="inlineStr">
        <is>
          <t>/</t>
        </is>
      </c>
      <c r="D93" s="105" t="inlineStr">
        <is>
          <t>cap-rate-au-data-centre</t>
        </is>
      </c>
      <c r="E93" s="110" t="inlineStr">
        <is>
          <t>stabilised-value-per-100mw</t>
        </is>
      </c>
      <c r="F93" s="109" t="inlineStr">
        <is>
          <t>Earnings per megawatt capitalised at a yield is a value per megawatt. The grid scales it to 100 MW.</t>
        </is>
      </c>
    </row>
    <row r="94">
      <c r="A94" s="106" t="n">
        <v>17</v>
      </c>
      <c r="B94" s="105" t="inlineStr">
        <is>
          <t>researchandmarkets-market-revenue</t>
        </is>
      </c>
      <c r="C94" s="105" t="inlineStr">
        <is>
          <t>/</t>
        </is>
      </c>
      <c r="D94" s="105" t="inlineStr">
        <is>
          <t>fx-usd-per-aud</t>
        </is>
      </c>
      <c r="E94" s="110" t="inlineStr">
        <is>
          <t>researchandmarkets-market-revenue-aud</t>
        </is>
      </c>
      <c r="F94" s="109" t="inlineStr">
        <is>
          <t>A US dollar total divided by US dollars per Australian dollar is an Australian dollar total.</t>
        </is>
      </c>
    </row>
    <row r="95">
      <c r="A95" s="106" t="n">
        <v>18</v>
      </c>
      <c r="B95" s="105" t="inlineStr">
        <is>
          <t>announced-project-capacity</t>
        </is>
      </c>
      <c r="C95" s="105" t="inlineStr">
        <is>
          <t>/</t>
        </is>
      </c>
      <c r="D95" s="105" t="inlineStr">
        <is>
          <t>operating-it-load-national</t>
        </is>
      </c>
      <c r="E95" s="110" t="inlineStr">
        <is>
          <t>pipeline-over-operating-multiple</t>
        </is>
      </c>
      <c r="F95" s="109" t="inlineStr">
        <is>
          <t>The second ratio in this model that crosses two definitions on purpose. It is the metro pipeline against the metro plant and it is named, so no reader can take it for a growth rate.</t>
        </is>
      </c>
    </row>
    <row r="96">
      <c r="A96" s="106" t="n">
        <v>19</v>
      </c>
      <c r="B96" s="105" t="inlineStr">
        <is>
          <t>mordor-capacity-national</t>
        </is>
      </c>
      <c r="C96" s="105" t="inlineStr">
        <is>
          <t>*</t>
        </is>
      </c>
      <c r="D96" s="105" t="inlineStr">
        <is>
          <t>operating-over-mordor-capacity</t>
        </is>
      </c>
      <c r="E96" s="110" t="inlineStr">
        <is>
          <t>operating-it-load-national</t>
        </is>
      </c>
      <c r="F96" s="109" t="inlineStr">
        <is>
          <t>Mordor's series scaled by that same-year ratio lands on the operating basis. This is the restatement memo at Market_Sizing section E and it is the only place the scaling is done.</t>
        </is>
      </c>
    </row>
    <row r="97"/>
    <row r="98">
      <c r="A98" s="93" t="inlineStr">
        <is>
          <t>D. Declarations — the basis of every input cell that carries a measured quantity</t>
        </is>
      </c>
      <c r="B98" s="93" t="n"/>
      <c r="C98" s="93" t="n"/>
      <c r="D98" s="93" t="n"/>
      <c r="E98" s="93" t="n"/>
      <c r="F98" s="93" t="n"/>
      <c r="G98" s="93" t="n"/>
      <c r="H98" s="93" t="n"/>
      <c r="I98" s="93" t="n"/>
    </row>
    <row r="99">
      <c r="A99" s="95" t="inlineStr">
        <is>
          <t>#</t>
        </is>
      </c>
      <c r="B99" s="95" t="inlineStr">
        <is>
          <t>Cell or range</t>
        </is>
      </c>
      <c r="C99" s="95" t="inlineStr">
        <is>
          <t>Basis identifier</t>
        </is>
      </c>
      <c r="D99" s="95" t="inlineStr">
        <is>
          <t>Source # cited at that cell</t>
        </is>
      </c>
      <c r="E99" s="95" t="inlineStr">
        <is>
          <t>Note</t>
        </is>
      </c>
    </row>
    <row r="100">
      <c r="A100" s="106" t="n">
        <v>1</v>
      </c>
      <c r="B100" s="105" t="inlineStr">
        <is>
          <t>Assumptions!D7:G7</t>
        </is>
      </c>
      <c r="C100" s="105" t="inlineStr">
        <is>
          <t>operating-it-load-national</t>
        </is>
      </c>
      <c r="D100" s="109" t="inlineStr">
        <is>
          <t>S-08; S-09</t>
        </is>
      </c>
      <c r="E100" s="109" t="inlineStr">
        <is>
          <t>driver #1, Operating IT capacity, end-2025</t>
        </is>
      </c>
    </row>
    <row r="101">
      <c r="A101" s="106" t="n">
        <v>2</v>
      </c>
      <c r="B101" s="105" t="inlineStr">
        <is>
          <t>Assumptions!D8:G8</t>
        </is>
      </c>
      <c r="C101" s="105" t="inlineStr">
        <is>
          <t>operating-it-load-national</t>
        </is>
      </c>
      <c r="D101" s="109" t="inlineStr">
        <is>
          <t>S-44; S-09</t>
        </is>
      </c>
      <c r="E101" s="109" t="inlineStr">
        <is>
          <t>driver #2, 2030 operating capacity target — Bear</t>
        </is>
      </c>
    </row>
    <row r="102">
      <c r="A102" s="106" t="n">
        <v>3</v>
      </c>
      <c r="B102" s="105" t="inlineStr">
        <is>
          <t>Assumptions!D9:G9</t>
        </is>
      </c>
      <c r="C102" s="105" t="inlineStr">
        <is>
          <t>operating-it-load-national</t>
        </is>
      </c>
      <c r="D102" s="109" t="inlineStr">
        <is>
          <t>S-33; S-44</t>
        </is>
      </c>
      <c r="E102" s="109" t="inlineStr">
        <is>
          <t>driver #3, 2030 operating capacity target — Base</t>
        </is>
      </c>
    </row>
    <row r="103">
      <c r="A103" s="106" t="n">
        <v>4</v>
      </c>
      <c r="B103" s="105" t="inlineStr">
        <is>
          <t>Assumptions!D10:G10</t>
        </is>
      </c>
      <c r="C103" s="105" t="inlineStr">
        <is>
          <t>operating-it-load-national</t>
        </is>
      </c>
      <c r="D103" s="109" t="inlineStr">
        <is>
          <t>S-09; S-11; S-15; S-16; S-39; S-45; S-46</t>
        </is>
      </c>
      <c r="E103" s="109" t="inlineStr">
        <is>
          <t>driver #4, 2030 operating capacity target — Bull</t>
        </is>
      </c>
    </row>
    <row r="104">
      <c r="A104" s="106" t="n">
        <v>5</v>
      </c>
      <c r="B104" s="105" t="inlineStr">
        <is>
          <t>Assumptions!D11:G11</t>
        </is>
      </c>
      <c r="C104" s="105" t="inlineStr">
        <is>
          <t>occupied-it-load-m3</t>
        </is>
      </c>
      <c r="D104" s="109" t="inlineStr">
        <is>
          <t>S-10</t>
        </is>
      </c>
      <c r="E104" s="109" t="inlineStr">
        <is>
          <t>driver #5, National occupancy (demand take-up), 2025</t>
        </is>
      </c>
    </row>
    <row r="105">
      <c r="A105" s="106" t="n">
        <v>6</v>
      </c>
      <c r="B105" s="105" t="inlineStr">
        <is>
          <t>Assumptions!D12:G12</t>
        </is>
      </c>
      <c r="C105" s="105" t="inlineStr">
        <is>
          <t>occupied-it-load-m3</t>
        </is>
      </c>
      <c r="D105" s="109" t="inlineStr">
        <is>
          <t>S-10</t>
        </is>
      </c>
      <c r="E105" s="109" t="inlineStr">
        <is>
          <t>driver #6, National occupancy, 2005</t>
        </is>
      </c>
    </row>
    <row r="106">
      <c r="A106" s="106" t="n">
        <v>7</v>
      </c>
      <c r="B106" s="105" t="inlineStr">
        <is>
          <t>Assumptions!D13:G13</t>
        </is>
      </c>
      <c r="C106" s="105" t="inlineStr">
        <is>
          <t>mordor-capacity-national</t>
        </is>
      </c>
      <c r="D106" s="109" t="inlineStr">
        <is>
          <t>S-05</t>
        </is>
      </c>
      <c r="E106" s="109" t="inlineStr">
        <is>
          <t>driver #7, Mordor capacity basis, 2025</t>
        </is>
      </c>
    </row>
    <row r="107">
      <c r="A107" s="106" t="n">
        <v>8</v>
      </c>
      <c r="B107" s="105" t="inlineStr">
        <is>
          <t>Assumptions!D14:G14</t>
        </is>
      </c>
      <c r="C107" s="105" t="inlineStr">
        <is>
          <t>growth-mordor-capacity</t>
        </is>
      </c>
      <c r="D107" s="109" t="inlineStr">
        <is>
          <t>S-05</t>
        </is>
      </c>
      <c r="E107" s="109" t="inlineStr">
        <is>
          <t>driver #8, Mordor capacity CAGR 2025–2030</t>
        </is>
      </c>
    </row>
    <row r="108">
      <c r="A108" s="106" t="n">
        <v>9</v>
      </c>
      <c r="B108" s="105" t="inlineStr">
        <is>
          <t>Assumptions!D15:G15</t>
        </is>
      </c>
      <c r="C108" s="105" t="inlineStr">
        <is>
          <t>share-of-announced-project-capacity</t>
        </is>
      </c>
      <c r="D108" s="109" t="inlineStr">
        <is>
          <t>S-11</t>
        </is>
      </c>
      <c r="E108" s="109" t="inlineStr">
        <is>
          <t>driver #9, Share of pipeline 'fully deliverable' near-term</t>
        </is>
      </c>
    </row>
    <row r="109">
      <c r="A109" s="106" t="n">
        <v>10</v>
      </c>
      <c r="B109" s="105" t="inlineStr">
        <is>
          <t>Assumptions!D16:G16</t>
        </is>
      </c>
      <c r="C109" s="105" t="inlineStr">
        <is>
          <t>share-of-announced-project-capacity</t>
        </is>
      </c>
      <c r="D109" s="109" t="inlineStr">
        <is>
          <t>S-11</t>
        </is>
      </c>
      <c r="E109" s="109" t="inlineStr">
        <is>
          <t>driver #10, Under-construction pre-commitment (Dec 2024)</t>
        </is>
      </c>
    </row>
    <row r="110">
      <c r="A110" s="106" t="n">
        <v>11</v>
      </c>
      <c r="B110" s="105" t="inlineStr">
        <is>
          <t>Assumptions!D17:G17</t>
        </is>
      </c>
      <c r="C110" s="105" t="inlineStr">
        <is>
          <t>share-of-announced-project-capacity</t>
        </is>
      </c>
      <c r="D110" s="109" t="inlineStr">
        <is>
          <t>S-11 (anchor)</t>
        </is>
      </c>
      <c r="E110" s="109" t="inlineStr">
        <is>
          <t>driver #11, UC delivery factor (share of UC MW operating by 2030)</t>
        </is>
      </c>
    </row>
    <row r="111">
      <c r="A111" s="106" t="n">
        <v>12</v>
      </c>
      <c r="B111" s="105" t="inlineStr">
        <is>
          <t>Assumptions!D18:G18</t>
        </is>
      </c>
      <c r="C111" s="105" t="inlineStr">
        <is>
          <t>anzsic-j5921-revenue</t>
        </is>
      </c>
      <c r="D111" s="109" t="inlineStr">
        <is>
          <t>S-01</t>
        </is>
      </c>
      <c r="E111" s="109" t="inlineStr">
        <is>
          <t>driver #12, IBISWorld J5921 revenue, 2024</t>
        </is>
      </c>
    </row>
    <row r="112">
      <c r="A112" s="106" t="n">
        <v>13</v>
      </c>
      <c r="B112" s="105" t="inlineStr">
        <is>
          <t>Assumptions!D19:G19</t>
        </is>
      </c>
      <c r="C112" s="105" t="inlineStr">
        <is>
          <t>anzsic-j5921-revenue</t>
        </is>
      </c>
      <c r="D112" s="109" t="inlineStr">
        <is>
          <t>S-01</t>
        </is>
      </c>
      <c r="E112" s="109" t="inlineStr">
        <is>
          <t>driver #13, IBISWorld J5921 revenue, 2025</t>
        </is>
      </c>
    </row>
    <row r="113">
      <c r="A113" s="106" t="n">
        <v>14</v>
      </c>
      <c r="B113" s="105" t="inlineStr">
        <is>
          <t>Assumptions!D20:G20</t>
        </is>
      </c>
      <c r="C113" s="105" t="inlineStr">
        <is>
          <t>anzsic-j5921-revenue</t>
        </is>
      </c>
      <c r="D113" s="109" t="inlineStr">
        <is>
          <t>S-01</t>
        </is>
      </c>
      <c r="E113" s="109" t="inlineStr">
        <is>
          <t>driver #14, IBISWorld J5921 revenue, 2026F</t>
        </is>
      </c>
    </row>
    <row r="114">
      <c r="A114" s="106" t="n">
        <v>15</v>
      </c>
      <c r="B114" s="105" t="inlineStr">
        <is>
          <t>Assumptions!D21:G21</t>
        </is>
      </c>
      <c r="C114" s="105" t="inlineStr">
        <is>
          <t>growth-j5921-revenue</t>
        </is>
      </c>
      <c r="D114" s="109" t="inlineStr">
        <is>
          <t>S-01</t>
        </is>
      </c>
      <c r="E114" s="109" t="inlineStr">
        <is>
          <t>driver #15, IBISWorld J5921 CAGR 2020–25</t>
        </is>
      </c>
    </row>
    <row r="115">
      <c r="A115" s="106" t="n">
        <v>16</v>
      </c>
      <c r="B115" s="105" t="inlineStr">
        <is>
          <t>Assumptions!D22:G22</t>
        </is>
      </c>
      <c r="C115" s="105" t="inlineStr">
        <is>
          <t>anzsic-od5323-revenue</t>
        </is>
      </c>
      <c r="D115" s="109" t="inlineStr">
        <is>
          <t>S-02</t>
        </is>
      </c>
      <c r="E115" s="109" t="inlineStr">
        <is>
          <t>driver #16, IBISWorld OD5323 revenue, 2026</t>
        </is>
      </c>
    </row>
    <row r="116">
      <c r="A116" s="106" t="n">
        <v>17</v>
      </c>
      <c r="B116" s="105" t="inlineStr">
        <is>
          <t>Assumptions!D23:G23</t>
        </is>
      </c>
      <c r="C116" s="105" t="inlineStr">
        <is>
          <t>imarc-market-revenue</t>
        </is>
      </c>
      <c r="D116" s="109" t="inlineStr">
        <is>
          <t>S-03</t>
        </is>
      </c>
      <c r="E116" s="109" t="inlineStr">
        <is>
          <t>driver #17, IMARC market revenue, 2025</t>
        </is>
      </c>
    </row>
    <row r="117">
      <c r="A117" s="106" t="n">
        <v>18</v>
      </c>
      <c r="B117" s="105" t="inlineStr">
        <is>
          <t>Assumptions!D24:G24</t>
        </is>
      </c>
      <c r="C117" s="105" t="inlineStr">
        <is>
          <t>researchandmarkets-market-revenue</t>
        </is>
      </c>
      <c r="D117" s="109" t="inlineStr">
        <is>
          <t>S-04</t>
        </is>
      </c>
      <c r="E117" s="109" t="inlineStr">
        <is>
          <t>driver #18, ResearchAndMarkets revenue, 2025</t>
        </is>
      </c>
    </row>
    <row r="118">
      <c r="A118" s="106" t="n">
        <v>19</v>
      </c>
      <c r="B118" s="105" t="inlineStr">
        <is>
          <t>Assumptions!D25:G25</t>
        </is>
      </c>
      <c r="C118" s="105" t="inlineStr">
        <is>
          <t>growth-rnm-market-revenue</t>
        </is>
      </c>
      <c r="D118" s="109" t="inlineStr">
        <is>
          <t>S-04</t>
        </is>
      </c>
      <c r="E118" s="109" t="inlineStr">
        <is>
          <t>driver #19, ResearchAndMarkets CAGR 2025–31</t>
        </is>
      </c>
    </row>
    <row r="119">
      <c r="A119" s="106" t="n">
        <v>20</v>
      </c>
      <c r="B119" s="105" t="inlineStr">
        <is>
          <t>Assumptions!D26:G26</t>
        </is>
      </c>
      <c r="C119" s="105" t="inlineStr">
        <is>
          <t>fx-usd-per-aud</t>
        </is>
      </c>
      <c r="D119" s="109" t="inlineStr">
        <is>
          <t>S-03; S-42 (anchors)</t>
        </is>
      </c>
      <c r="E119" s="109" t="inlineStr">
        <is>
          <t>driver #20, FX: US$ per A$1 (conversion assumption)</t>
        </is>
      </c>
    </row>
    <row r="120">
      <c r="A120" s="106" t="n">
        <v>21</v>
      </c>
      <c r="B120" s="105" t="inlineStr">
        <is>
          <t>Assumptions!D27:G27</t>
        </is>
      </c>
      <c r="C120" s="105" t="inlineStr">
        <is>
          <t>colocation-price-250-500kw</t>
        </is>
      </c>
      <c r="D120" s="109" t="inlineStr">
        <is>
          <t>S-07</t>
        </is>
      </c>
      <c r="E120" s="109" t="inlineStr">
        <is>
          <t>driver #21, Sydney colocation price (250–500 kW)</t>
        </is>
      </c>
    </row>
    <row r="121">
      <c r="A121" s="106" t="n">
        <v>22</v>
      </c>
      <c r="B121" s="105" t="inlineStr">
        <is>
          <t>Assumptions!D28:G28</t>
        </is>
      </c>
      <c r="C121" s="105" t="inlineStr">
        <is>
          <t>nextdc-billing-utilisation</t>
        </is>
      </c>
      <c r="D121" s="109" t="inlineStr">
        <is>
          <t>S-20</t>
        </is>
      </c>
      <c r="E121" s="109" t="inlineStr">
        <is>
          <t>driver #22, NEXTDC billing utilisation, FY25</t>
        </is>
      </c>
    </row>
    <row r="122">
      <c r="A122" s="106" t="n">
        <v>23</v>
      </c>
      <c r="B122" s="105" t="inlineStr">
        <is>
          <t>Assumptions!D29:G29</t>
        </is>
      </c>
      <c r="C122" s="105" t="inlineStr">
        <is>
          <t>nextdc-contracted-utilisation</t>
        </is>
      </c>
      <c r="D122" s="109" t="inlineStr">
        <is>
          <t>S-20</t>
        </is>
      </c>
      <c r="E122" s="109" t="inlineStr">
        <is>
          <t>driver #23, NEXTDC contracted utilisation, FY25</t>
        </is>
      </c>
    </row>
    <row r="123">
      <c r="A123" s="106" t="n">
        <v>24</v>
      </c>
      <c r="B123" s="105" t="inlineStr">
        <is>
          <t>Assumptions!D30:G30</t>
        </is>
      </c>
      <c r="C123" s="105" t="inlineStr">
        <is>
          <t>billing-to-contracted-conversion</t>
        </is>
      </c>
      <c r="D123" s="109" t="inlineStr">
        <is>
          <t>S-20</t>
        </is>
      </c>
      <c r="E123" s="109" t="inlineStr">
        <is>
          <t>driver #24, Billing / contracted conversion</t>
        </is>
      </c>
    </row>
    <row r="124">
      <c r="A124" s="106" t="n">
        <v>25</v>
      </c>
      <c r="B124" s="105" t="inlineStr">
        <is>
          <t>Assumptions!D31:G31</t>
        </is>
      </c>
      <c r="C124" s="105" t="inlineStr">
        <is>
          <t>capex-per-mw-it-load</t>
        </is>
      </c>
      <c r="D124" s="109" t="inlineStr">
        <is>
          <t>S-15; S-16; S-19</t>
        </is>
      </c>
      <c r="E124" s="109" t="inlineStr">
        <is>
          <t>driver #25, Capex per MW — working range</t>
        </is>
      </c>
    </row>
    <row r="125">
      <c r="A125" s="106" t="n">
        <v>26</v>
      </c>
      <c r="B125" s="105" t="inlineStr">
        <is>
          <t>Assumptions!D32:G32</t>
        </is>
      </c>
      <c r="C125" s="105" t="inlineStr">
        <is>
          <t>ebitda-per-mw-it-load-year</t>
        </is>
      </c>
      <c r="D125" s="109" t="inlineStr">
        <is>
          <t>S-27</t>
        </is>
      </c>
      <c r="E125" s="109" t="inlineStr">
        <is>
          <t>driver #26, CDC contracted EBITDA per MW deployed</t>
        </is>
      </c>
    </row>
    <row r="126">
      <c r="A126" s="106" t="n">
        <v>27</v>
      </c>
      <c r="B126" s="105" t="inlineStr">
        <is>
          <t>Assumptions!D33:G33</t>
        </is>
      </c>
      <c r="C126" s="105" t="inlineStr">
        <is>
          <t>cap-rate-au-data-centre</t>
        </is>
      </c>
      <c r="D126" s="109" t="inlineStr">
        <is>
          <t>S-31</t>
        </is>
      </c>
      <c r="E126" s="109" t="inlineStr">
        <is>
          <t>driver #27, Cap rate — AU DC band</t>
        </is>
      </c>
    </row>
    <row r="127">
      <c r="A127" s="106" t="n">
        <v>28</v>
      </c>
      <c r="B127" s="105" t="inlineStr">
        <is>
          <t>Assumptions!D34:G34</t>
        </is>
      </c>
      <c r="C127" s="105" t="inlineStr">
        <is>
          <t>share-of-operating-it-load</t>
        </is>
      </c>
      <c r="D127" s="109" t="inlineStr">
        <is>
          <t>S-03; S-14</t>
        </is>
      </c>
      <c r="E127" s="109" t="inlineStr">
        <is>
          <t>driver #28, Sydney share of national operating capacity</t>
        </is>
      </c>
    </row>
    <row r="128">
      <c r="A128" s="106" t="n">
        <v>29</v>
      </c>
      <c r="B128" s="105" t="inlineStr">
        <is>
          <t>Assumptions!D35:G35</t>
        </is>
      </c>
      <c r="C128" s="105" t="inlineStr">
        <is>
          <t>share-of-operating-it-load</t>
        </is>
      </c>
      <c r="D128" s="109" t="inlineStr">
        <is>
          <t>S-03 (anchor)</t>
        </is>
      </c>
      <c r="E128" s="109" t="inlineStr">
        <is>
          <t>driver #29, Melbourne share of operating capacity</t>
        </is>
      </c>
    </row>
    <row r="129">
      <c r="A129" s="106" t="n">
        <v>30</v>
      </c>
      <c r="B129" s="105" t="inlineStr">
        <is>
          <t>Assumptions!D36:G36</t>
        </is>
      </c>
      <c r="C129" s="105" t="inlineStr">
        <is>
          <t>share-of-operating-it-load</t>
        </is>
      </c>
      <c r="D129" s="109" t="inlineStr">
        <is>
          <t>S-03 (anchor)</t>
        </is>
      </c>
      <c r="E129" s="109" t="inlineStr">
        <is>
          <t>driver #30, Brisbane share of operating capacity</t>
        </is>
      </c>
    </row>
    <row r="130">
      <c r="A130" s="106" t="n">
        <v>31</v>
      </c>
      <c r="B130" s="105" t="inlineStr">
        <is>
          <t>Assumptions!D37:G37</t>
        </is>
      </c>
      <c r="C130" s="105" t="inlineStr">
        <is>
          <t>share-of-operating-it-load</t>
        </is>
      </c>
      <c r="D130" s="109" t="inlineStr">
        <is>
          <t>S-03 (anchor)</t>
        </is>
      </c>
      <c r="E130" s="109" t="inlineStr">
        <is>
          <t>driver #31, Perth share of operating capacity</t>
        </is>
      </c>
    </row>
    <row r="131">
      <c r="A131" s="106" t="n">
        <v>32</v>
      </c>
      <c r="B131" s="105" t="inlineStr">
        <is>
          <t>Assumptions!D38:G38</t>
        </is>
      </c>
      <c r="C131" s="105" t="inlineStr">
        <is>
          <t>share-of-operating-it-load</t>
        </is>
      </c>
      <c r="D131" s="109" t="inlineStr">
        <is>
          <t>S-03 (anchor)</t>
        </is>
      </c>
      <c r="E131" s="109" t="inlineStr">
        <is>
          <t>driver #32, Canberra share of operating capacity</t>
        </is>
      </c>
    </row>
    <row r="132">
      <c r="A132" s="106" t="n">
        <v>33</v>
      </c>
      <c r="B132" s="105" t="inlineStr">
        <is>
          <t>Assumptions!D39:G39</t>
        </is>
      </c>
      <c r="C132" s="105" t="inlineStr">
        <is>
          <t>share-of-operating-it-load</t>
        </is>
      </c>
      <c r="D132" s="109" t="inlineStr">
        <is>
          <t>S-03 (anchor)</t>
        </is>
      </c>
      <c r="E132" s="109" t="inlineStr">
        <is>
          <t>driver #33, Adelaide share of operating capacity</t>
        </is>
      </c>
    </row>
    <row r="133">
      <c r="A133" s="106" t="n">
        <v>34</v>
      </c>
      <c r="B133" s="105" t="inlineStr">
        <is>
          <t>Assumptions!D40:G40</t>
        </is>
      </c>
      <c r="C133" s="105" t="inlineStr">
        <is>
          <t>share-of-operating-it-load</t>
        </is>
      </c>
      <c r="D133" s="111" t="inlineStr">
        <is>
          <t>—</t>
        </is>
      </c>
      <c r="E133" s="109" t="inlineStr">
        <is>
          <t>driver #34, Other / regional share (balancing item)</t>
        </is>
      </c>
    </row>
    <row r="134">
      <c r="A134" s="106" t="n">
        <v>35</v>
      </c>
      <c r="B134" s="105" t="inlineStr">
        <is>
          <t>Assumptions!D41:G41</t>
        </is>
      </c>
      <c r="C134" s="105" t="inlineStr">
        <is>
          <t>operating-it-load-national</t>
        </is>
      </c>
      <c r="D134" s="109" t="inlineStr">
        <is>
          <t>S-09; S-10 (proportion)</t>
        </is>
      </c>
      <c r="E134" s="109" t="inlineStr">
        <is>
          <t>driver #35, Implied operating IT load, 2020 (interpolation base)</t>
        </is>
      </c>
    </row>
    <row r="135">
      <c r="A135" s="106" t="n">
        <v>36</v>
      </c>
      <c r="B135" s="105" t="inlineStr">
        <is>
          <t>Assumptions!D42:G42</t>
        </is>
      </c>
      <c r="C135" s="105" t="inlineStr">
        <is>
          <t>anzsic-core-services-revenue</t>
        </is>
      </c>
      <c r="D135" s="109" t="inlineStr">
        <is>
          <t>S-01; S-02</t>
        </is>
      </c>
      <c r="E135" s="109" t="inlineStr">
        <is>
          <t>driver #36, Core services market revenue, 2026 (J5921 + OD5323)</t>
        </is>
      </c>
    </row>
    <row r="136">
      <c r="A136" s="106" t="n">
        <v>37</v>
      </c>
      <c r="B136" s="105" t="inlineStr">
        <is>
          <t>Assumptions!D43:G43</t>
        </is>
      </c>
      <c r="C136" s="105" t="inlineStr">
        <is>
          <t>growth-core-services-revenue</t>
        </is>
      </c>
      <c r="D136" s="109" t="inlineStr">
        <is>
          <t>S-01; S-02; S-04 (anchors)</t>
        </is>
      </c>
      <c r="E136" s="109" t="inlineStr">
        <is>
          <t>driver #37, Core services revenue growth, 2026–30</t>
        </is>
      </c>
    </row>
    <row r="137">
      <c r="A137" s="106" t="n">
        <v>38</v>
      </c>
      <c r="B137" s="105" t="inlineStr">
        <is>
          <t>Assumptions!D44:G44</t>
        </is>
      </c>
      <c r="C137" s="105" t="inlineStr">
        <is>
          <t>share-of-announced-project-capacity</t>
        </is>
      </c>
      <c r="D137" s="109" t="inlineStr">
        <is>
          <t>S-11; S-15 (anchors)</t>
        </is>
      </c>
      <c r="E137" s="109" t="inlineStr">
        <is>
          <t>driver #38, Bull: under-construction pool commissioned by 2030</t>
        </is>
      </c>
    </row>
    <row r="138">
      <c r="A138" s="106" t="n">
        <v>39</v>
      </c>
      <c r="B138" s="105" t="inlineStr">
        <is>
          <t>Assumptions!D45:G45</t>
        </is>
      </c>
      <c r="C138" s="105" t="inlineStr">
        <is>
          <t>share-of-announced-project-capacity</t>
        </is>
      </c>
      <c r="D138" s="109" t="inlineStr">
        <is>
          <t>S-11 (anchor)</t>
        </is>
      </c>
      <c r="E138" s="109" t="inlineStr">
        <is>
          <t>driver #39, Bull: planned and deferred pipeline converting by 2030</t>
        </is>
      </c>
    </row>
    <row r="139">
      <c r="A139" s="106" t="n">
        <v>40</v>
      </c>
      <c r="B139" s="105" t="inlineStr">
        <is>
          <t>Assumptions!D46:G46</t>
        </is>
      </c>
      <c r="C139" s="105" t="inlineStr">
        <is>
          <t>net-revenue-to-gross-profit-conversion</t>
        </is>
      </c>
      <c r="D139" s="109" t="inlineStr">
        <is>
          <t>S-22; S-41</t>
        </is>
      </c>
      <c r="E139" s="109" t="inlineStr">
        <is>
          <t>driver #40, NEXTDC gross margin (basis conversion: net revenue to gross profit)</t>
        </is>
      </c>
    </row>
    <row r="140">
      <c r="A140" s="106" t="n">
        <v>41</v>
      </c>
      <c r="B140" s="105" t="inlineStr">
        <is>
          <t>Assumptions!D47:G47</t>
        </is>
      </c>
      <c r="C140" s="105" t="inlineStr">
        <is>
          <t>pipeline-to-operating-conversion</t>
        </is>
      </c>
      <c r="D140" s="109" t="inlineStr">
        <is>
          <t>S-11; S-15; S-16; S-20; S-29; S-32; S-35; S-39; S-45; S-46</t>
        </is>
      </c>
      <c r="E140" s="109" t="inlineStr">
        <is>
          <t>driver #41, Announced project MW to operating IT load (basis conversion)</t>
        </is>
      </c>
    </row>
    <row r="141">
      <c r="A141" s="106" t="n">
        <v>42</v>
      </c>
      <c r="B141" s="105" t="inlineStr">
        <is>
          <t>Assumptions!C4</t>
        </is>
      </c>
      <c r="C141" s="105" t="inlineStr">
        <is>
          <t>scenario-selector</t>
        </is>
      </c>
      <c r="D141" s="111" t="inlineStr">
        <is>
          <t>n/a</t>
        </is>
      </c>
      <c r="E141" s="109" t="inlineStr">
        <is>
          <t>the bear / base / bull switch</t>
        </is>
      </c>
    </row>
    <row r="142">
      <c r="A142" s="106" t="n">
        <v>43</v>
      </c>
      <c r="B142" s="105" t="inlineStr">
        <is>
          <t>Market_Sizing!B12:J12</t>
        </is>
      </c>
      <c r="C142" s="105" t="inlineStr">
        <is>
          <t>calendar-year</t>
        </is>
      </c>
      <c r="D142" s="111" t="inlineStr">
        <is>
          <t>n/a</t>
        </is>
      </c>
      <c r="E142" s="109" t="inlineStr">
        <is>
          <t>column headings, capacity build</t>
        </is>
      </c>
    </row>
    <row r="143">
      <c r="A143" s="106" t="n">
        <v>44</v>
      </c>
      <c r="B143" s="105" t="inlineStr">
        <is>
          <t>Market_Sizing!B30:J30</t>
        </is>
      </c>
      <c r="C143" s="105" t="inlineStr">
        <is>
          <t>calendar-year</t>
        </is>
      </c>
      <c r="D143" s="111" t="inlineStr">
        <is>
          <t>n/a</t>
        </is>
      </c>
      <c r="E143" s="109" t="inlineStr">
        <is>
          <t>column headings, revenue build</t>
        </is>
      </c>
    </row>
    <row r="144">
      <c r="A144" s="106" t="n">
        <v>45</v>
      </c>
      <c r="B144" s="105" t="inlineStr">
        <is>
          <t>Metro_Capacity!D18:D41</t>
        </is>
      </c>
      <c r="C144" s="105" t="inlineStr">
        <is>
          <t>announced-project-capacity</t>
        </is>
      </c>
      <c r="D144" s="109" t="inlineStr">
        <is>
          <t>S-15; S-16; S-20; S-29; S-32; S-35; S-39; S-45; S-46; S-47</t>
        </is>
      </c>
      <c r="E144" s="109" t="inlineStr">
        <is>
          <t>each project at the MW its own source states</t>
        </is>
      </c>
    </row>
    <row r="145">
      <c r="A145" s="106" t="n">
        <v>46</v>
      </c>
      <c r="B145" s="105" t="inlineStr">
        <is>
          <t>Metro_Capacity!B48</t>
        </is>
      </c>
      <c r="C145" s="105" t="inlineStr">
        <is>
          <t>announced-project-capacity</t>
        </is>
      </c>
      <c r="D145" s="109" t="inlineStr">
        <is>
          <t>S-15</t>
        </is>
      </c>
      <c r="E145" s="109" t="inlineStr">
        <is>
          <t>Firmus Southgate 2028 target balance, excluded from every total</t>
        </is>
      </c>
    </row>
    <row r="146">
      <c r="A146" s="106" t="n">
        <v>47</v>
      </c>
      <c r="B146" s="105" t="inlineStr">
        <is>
          <t>Metro_Capacity!B59</t>
        </is>
      </c>
      <c r="C146" s="105" t="inlineStr">
        <is>
          <t>operating-it-load-national</t>
        </is>
      </c>
      <c r="D146" s="109" t="inlineStr">
        <is>
          <t>S-03; S-14</t>
        </is>
      </c>
      <c r="E146" s="109" t="inlineStr">
        <is>
          <t>no operating base in this metro at 2025</t>
        </is>
      </c>
    </row>
    <row r="147">
      <c r="A147" s="106" t="n">
        <v>48</v>
      </c>
      <c r="B147" s="105" t="inlineStr">
        <is>
          <t>Metro_Capacity!B60</t>
        </is>
      </c>
      <c r="C147" s="105" t="inlineStr">
        <is>
          <t>operating-it-load-national</t>
        </is>
      </c>
      <c r="D147" s="109" t="inlineStr">
        <is>
          <t>S-03; S-14</t>
        </is>
      </c>
      <c r="E147" s="109" t="inlineStr">
        <is>
          <t>no operating base in this metro at 2025</t>
        </is>
      </c>
    </row>
    <row r="148">
      <c r="A148" s="106" t="n">
        <v>49</v>
      </c>
      <c r="B148" s="105" t="inlineStr">
        <is>
          <t>Unit_Economics!B6:B12</t>
        </is>
      </c>
      <c r="C148" s="105" t="inlineStr">
        <is>
          <t>project-capex-announced</t>
        </is>
      </c>
      <c r="D148" s="109" t="inlineStr">
        <is>
          <t>S-15; S-16; S-19; S-39</t>
        </is>
      </c>
      <c r="E148" s="109" t="inlineStr">
        <is>
          <t>announced project capex</t>
        </is>
      </c>
    </row>
    <row r="149">
      <c r="A149" s="106" t="n">
        <v>50</v>
      </c>
      <c r="B149" s="105" t="inlineStr">
        <is>
          <t>Unit_Economics!C6:C12</t>
        </is>
      </c>
      <c r="C149" s="105" t="inlineStr">
        <is>
          <t>announced-project-capacity</t>
        </is>
      </c>
      <c r="D149" s="109" t="inlineStr">
        <is>
          <t>S-15; S-16; S-19; S-39</t>
        </is>
      </c>
      <c r="E149" s="109" t="inlineStr">
        <is>
          <t>that project's announced MW</t>
        </is>
      </c>
    </row>
    <row r="150">
      <c r="A150" s="106" t="n">
        <v>51</v>
      </c>
      <c r="B150" s="105" t="inlineStr">
        <is>
          <t>Unit_Economics!B18:C20</t>
        </is>
      </c>
      <c r="C150" s="105" t="inlineStr">
        <is>
          <t>colocation-price-250-500kw</t>
        </is>
      </c>
      <c r="D150" s="109" t="inlineStr">
        <is>
          <t>S-07</t>
        </is>
      </c>
      <c r="E150" s="109" t="inlineStr">
        <is>
          <t>CBRE low and high by market</t>
        </is>
      </c>
    </row>
    <row r="151">
      <c r="A151" s="106" t="n">
        <v>52</v>
      </c>
      <c r="B151" s="105" t="inlineStr">
        <is>
          <t>Unit_Economics!B28:C28</t>
        </is>
      </c>
      <c r="C151" s="105" t="inlineStr">
        <is>
          <t>nextdc-total-revenue</t>
        </is>
      </c>
      <c r="D151" s="109" t="inlineStr">
        <is>
          <t>S-22; S-23</t>
        </is>
      </c>
      <c r="E151" s="112" t="inlineStr"/>
    </row>
    <row r="152">
      <c r="A152" s="106" t="n">
        <v>53</v>
      </c>
      <c r="B152" s="105" t="inlineStr">
        <is>
          <t>Unit_Economics!B29:C29</t>
        </is>
      </c>
      <c r="C152" s="105" t="inlineStr">
        <is>
          <t>nextdc-net-revenue</t>
        </is>
      </c>
      <c r="D152" s="109" t="inlineStr">
        <is>
          <t>S-23</t>
        </is>
      </c>
      <c r="E152" s="112" t="inlineStr"/>
    </row>
    <row r="153">
      <c r="A153" s="106" t="n">
        <v>54</v>
      </c>
      <c r="B153" s="105" t="inlineStr">
        <is>
          <t>Unit_Economics!B30:C30</t>
        </is>
      </c>
      <c r="C153" s="105" t="inlineStr">
        <is>
          <t>nextdc-reported-earnings</t>
        </is>
      </c>
      <c r="D153" s="109" t="inlineStr">
        <is>
          <t>S-22; S-23</t>
        </is>
      </c>
      <c r="E153" s="112" t="inlineStr"/>
    </row>
    <row r="154">
      <c r="A154" s="106" t="n">
        <v>55</v>
      </c>
      <c r="B154" s="105" t="inlineStr">
        <is>
          <t>Unit_Economics!B34:C34</t>
        </is>
      </c>
      <c r="C154" s="105" t="inlineStr">
        <is>
          <t>nextdc-reported-earnings</t>
        </is>
      </c>
      <c r="D154" s="109" t="inlineStr">
        <is>
          <t>S-22; S-23</t>
        </is>
      </c>
      <c r="E154" s="112" t="inlineStr"/>
    </row>
    <row r="155">
      <c r="A155" s="106" t="n">
        <v>56</v>
      </c>
      <c r="B155" s="105" t="inlineStr">
        <is>
          <t>Unit_Economics!B35:C35</t>
        </is>
      </c>
      <c r="C155" s="105" t="inlineStr">
        <is>
          <t>nextdc-reported-earnings</t>
        </is>
      </c>
      <c r="D155" s="109" t="inlineStr">
        <is>
          <t>S-22; S-23</t>
        </is>
      </c>
      <c r="E155" s="112" t="inlineStr"/>
    </row>
    <row r="156">
      <c r="A156" s="106" t="n">
        <v>57</v>
      </c>
      <c r="B156" s="105" t="inlineStr">
        <is>
          <t>Unit_Economics!B36:C36</t>
        </is>
      </c>
      <c r="C156" s="105" t="inlineStr">
        <is>
          <t>nextdc-reported-earnings</t>
        </is>
      </c>
      <c r="D156" s="109" t="inlineStr">
        <is>
          <t>S-22; S-23</t>
        </is>
      </c>
      <c r="E156" s="112" t="inlineStr"/>
    </row>
    <row r="157">
      <c r="A157" s="106" t="n">
        <v>58</v>
      </c>
      <c r="B157" s="105" t="inlineStr">
        <is>
          <t>Valuation_Comps!B6</t>
        </is>
      </c>
      <c r="C157" s="105" t="inlineStr">
        <is>
          <t>transaction-enterprise-value</t>
        </is>
      </c>
      <c r="D157" s="109" t="inlineStr">
        <is>
          <t>S-17</t>
        </is>
      </c>
      <c r="E157" s="112" t="inlineStr"/>
    </row>
    <row r="158">
      <c r="A158" s="106" t="n">
        <v>59</v>
      </c>
      <c r="B158" s="105" t="inlineStr">
        <is>
          <t>Valuation_Comps!B7</t>
        </is>
      </c>
      <c r="C158" s="105" t="inlineStr">
        <is>
          <t>transaction-ebitda-multiple</t>
        </is>
      </c>
      <c r="D158" s="109" t="inlineStr">
        <is>
          <t>S-19</t>
        </is>
      </c>
      <c r="E158" s="112" t="inlineStr"/>
    </row>
    <row r="159">
      <c r="A159" s="106" t="n">
        <v>60</v>
      </c>
      <c r="B159" s="105" t="inlineStr">
        <is>
          <t>Valuation_Comps!B9</t>
        </is>
      </c>
      <c r="C159" s="105" t="inlineStr">
        <is>
          <t>transaction-ebitda-multiple</t>
        </is>
      </c>
      <c r="D159" s="109" t="inlineStr">
        <is>
          <t>S-18</t>
        </is>
      </c>
      <c r="E159" s="112" t="inlineStr"/>
    </row>
    <row r="160">
      <c r="A160" s="106" t="n">
        <v>61</v>
      </c>
      <c r="B160" s="105" t="inlineStr">
        <is>
          <t>Valuation_Comps!B11</t>
        </is>
      </c>
      <c r="C160" s="105" t="inlineStr">
        <is>
          <t>transaction-enterprise-value</t>
        </is>
      </c>
      <c r="D160" s="109" t="inlineStr">
        <is>
          <t>S-18</t>
        </is>
      </c>
      <c r="E160" s="112" t="inlineStr"/>
    </row>
    <row r="161">
      <c r="A161" s="106" t="n">
        <v>62</v>
      </c>
      <c r="B161" s="105" t="inlineStr">
        <is>
          <t>Valuation_Comps!B17</t>
        </is>
      </c>
      <c r="C161" s="105" t="inlineStr">
        <is>
          <t>nextdc-share-price</t>
        </is>
      </c>
      <c r="D161" s="109" t="inlineStr">
        <is>
          <t>S-21; S-22</t>
        </is>
      </c>
      <c r="E161" s="112" t="inlineStr"/>
    </row>
    <row r="162">
      <c r="A162" s="106" t="n">
        <v>63</v>
      </c>
      <c r="B162" s="105" t="inlineStr">
        <is>
          <t>Valuation_Comps!B19</t>
        </is>
      </c>
      <c r="C162" s="105" t="inlineStr">
        <is>
          <t>listed-ev-ebitda-multiple</t>
        </is>
      </c>
      <c r="D162" s="109" t="inlineStr">
        <is>
          <t>S-41</t>
        </is>
      </c>
      <c r="E162" s="112" t="inlineStr"/>
    </row>
    <row r="163">
      <c r="A163" s="106" t="n">
        <v>64</v>
      </c>
      <c r="B163" s="105" t="inlineStr">
        <is>
          <t>Valuation_Comps!B20</t>
        </is>
      </c>
      <c r="C163" s="105" t="inlineStr">
        <is>
          <t>listed-ev-revenue-multiple</t>
        </is>
      </c>
      <c r="D163" s="109" t="inlineStr">
        <is>
          <t>S-41</t>
        </is>
      </c>
      <c r="E163" s="112" t="inlineStr"/>
    </row>
    <row r="164">
      <c r="A164" s="106" t="n">
        <v>65</v>
      </c>
      <c r="B164" s="105" t="inlineStr">
        <is>
          <t>Valuation_Comps!B23</t>
        </is>
      </c>
      <c r="C164" s="105" t="inlineStr">
        <is>
          <t>nextdc-share-price</t>
        </is>
      </c>
      <c r="D164" s="109" t="inlineStr">
        <is>
          <t>S-21</t>
        </is>
      </c>
      <c r="E164" s="112" t="inlineStr"/>
    </row>
    <row r="165">
      <c r="A165" s="106" t="n">
        <v>66</v>
      </c>
      <c r="B165" s="105" t="inlineStr">
        <is>
          <t>Valuation_Comps!B28</t>
        </is>
      </c>
      <c r="C165" s="105" t="inlineStr">
        <is>
          <t>transaction-enterprise-value-aud-bn</t>
        </is>
      </c>
      <c r="D165" s="109" t="inlineStr">
        <is>
          <t>S-24</t>
        </is>
      </c>
      <c r="E165" s="112" t="inlineStr"/>
    </row>
    <row r="166">
      <c r="A166" s="106" t="n">
        <v>67</v>
      </c>
      <c r="B166" s="105" t="inlineStr">
        <is>
          <t>Valuation_Comps!B29:B31</t>
        </is>
      </c>
      <c r="C166" s="105" t="inlineStr">
        <is>
          <t>infratil-cdc-valuation</t>
        </is>
      </c>
      <c r="D166" s="109" t="inlineStr">
        <is>
          <t>S-25; S-26</t>
        </is>
      </c>
      <c r="E166" s="112" t="inlineStr"/>
    </row>
    <row r="167">
      <c r="A167" s="106" t="n">
        <v>68</v>
      </c>
      <c r="B167" s="105" t="inlineStr">
        <is>
          <t>Valuation_Comps!B34</t>
        </is>
      </c>
      <c r="C167" s="105" t="inlineStr">
        <is>
          <t>infratil-cdc-valuation</t>
        </is>
      </c>
      <c r="D167" s="109" t="inlineStr">
        <is>
          <t>S-24; S-25</t>
        </is>
      </c>
      <c r="E167" s="112" t="inlineStr"/>
    </row>
    <row r="168">
      <c r="A168" s="106" t="n">
        <v>69</v>
      </c>
      <c r="B168" s="105" t="inlineStr">
        <is>
          <t>Sensitivity!B11:C11</t>
        </is>
      </c>
      <c r="C168" s="105" t="inlineStr">
        <is>
          <t>share-of-announced-project-capacity</t>
        </is>
      </c>
      <c r="D168" s="109" t="inlineStr">
        <is>
          <t>S-11</t>
        </is>
      </c>
      <c r="E168" s="109" t="inlineStr">
        <is>
          <t>planned-pipeline deliverability, low and high</t>
        </is>
      </c>
    </row>
    <row r="169">
      <c r="A169" s="106" t="n">
        <v>70</v>
      </c>
      <c r="B169" s="105" t="inlineStr">
        <is>
          <t>Recon!C8</t>
        </is>
      </c>
      <c r="C169" s="105" t="inlineStr">
        <is>
          <t>operating-it-load-national</t>
        </is>
      </c>
      <c r="D169" s="109" t="inlineStr">
        <is>
          <t>S-09 (11 May 2026); CBRE range S-08</t>
        </is>
      </c>
      <c r="E169" s="109" t="inlineStr">
        <is>
          <t>Operating IT load, end-2025</t>
        </is>
      </c>
    </row>
    <row r="170">
      <c r="A170" s="106" t="n">
        <v>71</v>
      </c>
      <c r="B170" s="105" t="inlineStr">
        <is>
          <t>Recon!C9</t>
        </is>
      </c>
      <c r="C170" s="105" t="inlineStr">
        <is>
          <t>operating-it-load-national</t>
        </is>
      </c>
      <c r="D170" s="109" t="inlineStr">
        <is>
          <t>S-44; S-09</t>
        </is>
      </c>
      <c r="E170" s="109" t="inlineStr">
        <is>
          <t>2030 operating capacity — Bear</t>
        </is>
      </c>
    </row>
    <row r="171">
      <c r="A171" s="106" t="n">
        <v>72</v>
      </c>
      <c r="B171" s="105" t="inlineStr">
        <is>
          <t>Recon!C10</t>
        </is>
      </c>
      <c r="C171" s="105" t="inlineStr">
        <is>
          <t>operating-it-load-national</t>
        </is>
      </c>
      <c r="D171" s="109" t="inlineStr">
        <is>
          <t>S-33 (AEMO Step Change); S-44</t>
        </is>
      </c>
      <c r="E171" s="109" t="inlineStr">
        <is>
          <t>2030 operating capacity — Base</t>
        </is>
      </c>
    </row>
    <row r="172">
      <c r="A172" s="106" t="n">
        <v>73</v>
      </c>
      <c r="B172" s="105" t="inlineStr">
        <is>
          <t>Recon!C11</t>
        </is>
      </c>
      <c r="C172" s="105" t="inlineStr">
        <is>
          <t>operating-it-load-national</t>
        </is>
      </c>
      <c r="D172" s="109" t="inlineStr">
        <is>
          <t>Built at Assumptions #4 from S-09 (2025 base) and the S-15/S-16/S-39/S-45/S-46 project pipeline at Assumptions #38, #39</t>
        </is>
      </c>
      <c r="E172" s="109" t="inlineStr">
        <is>
          <t>2030 operating capacity — Bull</t>
        </is>
      </c>
    </row>
    <row r="173">
      <c r="A173" s="106" t="n">
        <v>74</v>
      </c>
      <c r="B173" s="105" t="inlineStr">
        <is>
          <t>Recon!C12</t>
        </is>
      </c>
      <c r="C173" s="105" t="inlineStr">
        <is>
          <t>growth-operating-it-load</t>
        </is>
      </c>
      <c r="D173" s="109" t="inlineStr">
        <is>
          <t>Formula: (5,000 ÷ 1,350)^(1/5) − 1</t>
        </is>
      </c>
      <c r="E173" s="109" t="inlineStr">
        <is>
          <t>Implied CAGR 2025–30 — Bear</t>
        </is>
      </c>
    </row>
    <row r="174">
      <c r="A174" s="106" t="n">
        <v>75</v>
      </c>
      <c r="B174" s="105" t="inlineStr">
        <is>
          <t>Recon!C13</t>
        </is>
      </c>
      <c r="C174" s="105" t="inlineStr">
        <is>
          <t>growth-operating-it-load</t>
        </is>
      </c>
      <c r="D174" s="109" t="inlineStr">
        <is>
          <t>Formula: (6,000 ÷ 1,350)^(1/5) − 1</t>
        </is>
      </c>
      <c r="E174" s="109" t="inlineStr">
        <is>
          <t>Implied CAGR 2025–30 — Base</t>
        </is>
      </c>
    </row>
    <row r="175">
      <c r="A175" s="106" t="n">
        <v>76</v>
      </c>
      <c r="B175" s="105" t="inlineStr">
        <is>
          <t>Recon!C14</t>
        </is>
      </c>
      <c r="C175" s="105" t="inlineStr">
        <is>
          <t>growth-operating-it-load</t>
        </is>
      </c>
      <c r="D175" s="109" t="inlineStr">
        <is>
          <t>Formula: (6,220 ÷ 1,350)^(1/5) − 1</t>
        </is>
      </c>
      <c r="E175" s="109" t="inlineStr">
        <is>
          <t>Implied CAGR 2025–30 — Bull</t>
        </is>
      </c>
    </row>
    <row r="176">
      <c r="A176" s="106" t="n">
        <v>77</v>
      </c>
      <c r="B176" s="105" t="inlineStr">
        <is>
          <t>Recon!C15</t>
        </is>
      </c>
      <c r="C176" s="105" t="inlineStr">
        <is>
          <t>anzsic-core-services-revenue</t>
        </is>
      </c>
      <c r="D176" s="109" t="inlineStr">
        <is>
          <t>S-01 + S-02 (IBISWorld J5921 + OD5323)</t>
        </is>
      </c>
      <c r="E176" s="109" t="inlineStr">
        <is>
          <t>Core services market revenue, 2026</t>
        </is>
      </c>
    </row>
    <row r="177">
      <c r="A177" s="106" t="n">
        <v>78</v>
      </c>
      <c r="B177" s="105" t="inlineStr">
        <is>
          <t>Recon!C16</t>
        </is>
      </c>
      <c r="C177" s="105" t="inlineStr">
        <is>
          <t>anzsic-core-services-revenue</t>
        </is>
      </c>
      <c r="D177" s="109" t="inlineStr">
        <is>
          <t>Assumptions #37 low (8% p.a.)</t>
        </is>
      </c>
      <c r="E177" s="109" t="inlineStr">
        <is>
          <t>Core services revenue 2030 — Bear</t>
        </is>
      </c>
    </row>
    <row r="178">
      <c r="A178" s="106" t="n">
        <v>79</v>
      </c>
      <c r="B178" s="105" t="inlineStr">
        <is>
          <t>Recon!C17</t>
        </is>
      </c>
      <c r="C178" s="105" t="inlineStr">
        <is>
          <t>anzsic-core-services-revenue</t>
        </is>
      </c>
      <c r="D178" s="109" t="inlineStr">
        <is>
          <t>Assumptions #37 base (12% p.a.)</t>
        </is>
      </c>
      <c r="E178" s="109" t="inlineStr">
        <is>
          <t>Core services revenue 2030 — Base</t>
        </is>
      </c>
    </row>
    <row r="179">
      <c r="A179" s="106" t="n">
        <v>80</v>
      </c>
      <c r="B179" s="105" t="inlineStr">
        <is>
          <t>Recon!C18</t>
        </is>
      </c>
      <c r="C179" s="105" t="inlineStr">
        <is>
          <t>anzsic-core-services-revenue</t>
        </is>
      </c>
      <c r="D179" s="109" t="inlineStr">
        <is>
          <t>Assumptions #37 high (16% p.a.)</t>
        </is>
      </c>
      <c r="E179" s="109" t="inlineStr">
        <is>
          <t>Core services revenue 2030 — Bull</t>
        </is>
      </c>
    </row>
    <row r="180">
      <c r="A180" s="106" t="n">
        <v>81</v>
      </c>
      <c r="B180" s="105" t="inlineStr">
        <is>
          <t>Recon!C19</t>
        </is>
      </c>
      <c r="C180" s="105" t="inlineStr">
        <is>
          <t>upper-bound-colocation-revenue</t>
        </is>
      </c>
      <c r="D180" s="109" t="inlineStr">
        <is>
          <t>Operating MW × CBRE Sydney midpoint at FX 0.66 (S-07)</t>
        </is>
      </c>
      <c r="E180" s="109" t="inlineStr">
        <is>
          <t>Wholesale-inclusive upper bound, 2030 (base)</t>
        </is>
      </c>
    </row>
    <row r="181">
      <c r="A181" s="106" t="n">
        <v>82</v>
      </c>
      <c r="B181" s="105" t="inlineStr">
        <is>
          <t>Recon!C20</t>
        </is>
      </c>
      <c r="C181" s="105" t="inlineStr">
        <is>
          <t>upper-bound-over-core-services</t>
        </is>
      </c>
      <c r="D181" s="109" t="inlineStr">
        <is>
          <t>Measures what the ANZSIC scope excludes</t>
        </is>
      </c>
      <c r="E181" s="109" t="inlineStr">
        <is>
          <t>Upper bound ÷ core services revenue, 2030</t>
        </is>
      </c>
    </row>
    <row r="182">
      <c r="A182" s="106" t="n">
        <v>83</v>
      </c>
      <c r="B182" s="105" t="inlineStr">
        <is>
          <t>Recon!C21</t>
        </is>
      </c>
      <c r="C182" s="105" t="inlineStr">
        <is>
          <t>colocation-revenue-per-mw-year</t>
        </is>
      </c>
      <c r="D182" s="109" t="inlineStr">
        <is>
          <t>S-07 (CBRE, Q1 2025) at FX 0.66</t>
        </is>
      </c>
      <c r="E182" s="109" t="inlineStr">
        <is>
          <t>Colocation revenue per MW</t>
        </is>
      </c>
    </row>
    <row r="183">
      <c r="A183" s="106" t="n">
        <v>84</v>
      </c>
      <c r="B183" s="105" t="inlineStr">
        <is>
          <t>Recon!C22</t>
        </is>
      </c>
      <c r="C183" s="105" t="inlineStr">
        <is>
          <t>ebitda-per-mw-it-load-year</t>
        </is>
      </c>
      <c r="D183" s="109" t="inlineStr">
        <is>
          <t>S-27 (Bloomberg via Energy Connects, 6 May 2026)</t>
        </is>
      </c>
      <c r="E183" s="109" t="inlineStr">
        <is>
          <t>CDC contracted EBITDA per MW deployed</t>
        </is>
      </c>
    </row>
    <row r="184">
      <c r="A184" s="106" t="n">
        <v>85</v>
      </c>
      <c r="B184" s="105" t="inlineStr">
        <is>
          <t>Recon!C23</t>
        </is>
      </c>
      <c r="C184" s="105" t="inlineStr">
        <is>
          <t>asset-ebitda-margin</t>
        </is>
      </c>
      <c r="D184" s="109" t="inlineStr">
        <is>
          <t>EBITDA per MW ÷ revenue per MW</t>
        </is>
      </c>
      <c r="E184" s="109" t="inlineStr">
        <is>
          <t>Implied asset-level EBITDA margin</t>
        </is>
      </c>
    </row>
    <row r="185">
      <c r="A185" s="106" t="n">
        <v>86</v>
      </c>
      <c r="B185" s="105" t="inlineStr">
        <is>
          <t>Recon!C24</t>
        </is>
      </c>
      <c r="C185" s="105" t="inlineStr">
        <is>
          <t>project-count</t>
        </is>
      </c>
      <c r="D185" s="109" t="inlineStr">
        <is>
          <t>Dossier §6.1 plus Addendum A1</t>
        </is>
      </c>
      <c r="E185" s="109" t="inlineStr">
        <is>
          <t>Projects in the pipeline table</t>
        </is>
      </c>
    </row>
    <row r="186">
      <c r="A186" s="106" t="n">
        <v>87</v>
      </c>
      <c r="B186" s="105" t="inlineStr">
        <is>
          <t>Recon!C25</t>
        </is>
      </c>
      <c r="C186" s="105" t="inlineStr">
        <is>
          <t>announced-project-capacity</t>
        </is>
      </c>
      <c r="D186" s="109" t="inlineStr">
        <is>
          <t>SUMIFS on class column; Firmus at its funded phase only</t>
        </is>
      </c>
      <c r="E186" s="109" t="inlineStr">
        <is>
          <t>National pipeline — under construction</t>
        </is>
      </c>
    </row>
    <row r="187">
      <c r="A187" s="106" t="n">
        <v>88</v>
      </c>
      <c r="B187" s="105" t="inlineStr">
        <is>
          <t>Recon!C26</t>
        </is>
      </c>
      <c r="C187" s="105" t="inlineStr">
        <is>
          <t>announced-project-capacity</t>
        </is>
      </c>
      <c r="D187" s="109" t="inlineStr">
        <is>
          <t>SUMIFS on class column; two projects disclose no MW</t>
        </is>
      </c>
      <c r="E187" s="109" t="inlineStr">
        <is>
          <t>National pipeline — planned / proposed</t>
        </is>
      </c>
    </row>
    <row r="188">
      <c r="A188" s="106" t="n">
        <v>89</v>
      </c>
      <c r="B188" s="105" t="inlineStr">
        <is>
          <t>Recon!C27</t>
        </is>
      </c>
      <c r="C188" s="105" t="inlineStr">
        <is>
          <t>announced-project-capacity</t>
        </is>
      </c>
      <c r="D188" s="109" t="inlineStr">
        <is>
          <t>UC + planned</t>
        </is>
      </c>
      <c r="E188" s="109" t="inlineStr">
        <is>
          <t>Total visible pipeline</t>
        </is>
      </c>
    </row>
    <row r="189">
      <c r="A189" s="106" t="n">
        <v>90</v>
      </c>
      <c r="B189" s="105" t="inlineStr">
        <is>
          <t>Recon!C28</t>
        </is>
      </c>
      <c r="C189" s="105" t="inlineStr">
        <is>
          <t>announced-project-capacity</t>
        </is>
      </c>
      <c r="D189" s="109" t="inlineStr">
        <is>
          <t>S-15; dossier §4.9, §6.1</t>
        </is>
      </c>
      <c r="E189" s="109" t="inlineStr">
        <is>
          <t>Firmus Southgate 2028 target balance (excluded)</t>
        </is>
      </c>
    </row>
    <row r="190">
      <c r="A190" s="106" t="n">
        <v>91</v>
      </c>
      <c r="B190" s="105" t="inlineStr">
        <is>
          <t>Recon!C29</t>
        </is>
      </c>
      <c r="C190" s="105" t="inlineStr">
        <is>
          <t>operating-it-load-national</t>
        </is>
      </c>
      <c r="D190" s="109" t="inlineStr">
        <is>
          <t>Base scenario: operating base + 68% of UC + 25% of planned. Bull scenario: 100% of UC + 35% of planned and the Firmus balance.</t>
        </is>
      </c>
      <c r="E190" s="109" t="inlineStr">
        <is>
          <t>Bottom-up 2030E total</t>
        </is>
      </c>
    </row>
    <row r="191">
      <c r="A191" s="106" t="n">
        <v>92</v>
      </c>
      <c r="B191" s="105" t="inlineStr">
        <is>
          <t>Recon!C30</t>
        </is>
      </c>
      <c r="C191" s="105" t="inlineStr">
        <is>
          <t>operating-it-load-national</t>
        </is>
      </c>
      <c r="D191" s="109" t="inlineStr">
        <is>
          <t>6,000 MW scenario less the visible bottom-up build</t>
        </is>
      </c>
      <c r="E191" s="109" t="inlineStr">
        <is>
          <t>Top-down less bottom-up gap (base)</t>
        </is>
      </c>
    </row>
    <row r="192">
      <c r="A192" s="106" t="n">
        <v>93</v>
      </c>
      <c r="B192" s="105" t="inlineStr">
        <is>
          <t>Recon!C31</t>
        </is>
      </c>
      <c r="C192" s="105" t="inlineStr">
        <is>
          <t>operating-it-load-national</t>
        </is>
      </c>
      <c r="D192" s="109" t="inlineStr">
        <is>
          <t>60% sourced share × 1,350 MW (S-03; S-14)</t>
        </is>
      </c>
      <c r="E192" s="109" t="inlineStr">
        <is>
          <t>Sydney operating MW, 2025</t>
        </is>
      </c>
    </row>
    <row r="193">
      <c r="A193" s="106" t="n">
        <v>94</v>
      </c>
      <c r="B193" s="105" t="inlineStr">
        <is>
          <t>Recon!C32</t>
        </is>
      </c>
      <c r="C193" s="105" t="inlineStr">
        <is>
          <t>operating-it-load-national</t>
        </is>
      </c>
      <c r="D193" s="109" t="inlineStr">
        <is>
          <t>inashanu estimate share (Assumptions #29)</t>
        </is>
      </c>
      <c r="E193" s="109" t="inlineStr">
        <is>
          <t>Melbourne operating MW, 2025</t>
        </is>
      </c>
    </row>
    <row r="194">
      <c r="A194" s="106" t="n">
        <v>95</v>
      </c>
      <c r="B194" s="105" t="inlineStr">
        <is>
          <t>Recon!C33</t>
        </is>
      </c>
      <c r="C194" s="105" t="inlineStr">
        <is>
          <t>operating-it-load-national</t>
        </is>
      </c>
      <c r="D194" s="109" t="inlineStr">
        <is>
          <t>inashanu estimate share (Assumptions #30)</t>
        </is>
      </c>
      <c r="E194" s="109" t="inlineStr">
        <is>
          <t>Brisbane operating MW, 2025</t>
        </is>
      </c>
    </row>
    <row r="195">
      <c r="A195" s="106" t="n">
        <v>96</v>
      </c>
      <c r="B195" s="105" t="inlineStr">
        <is>
          <t>Recon!C34</t>
        </is>
      </c>
      <c r="C195" s="105" t="inlineStr">
        <is>
          <t>operating-it-load-national</t>
        </is>
      </c>
      <c r="D195" s="109" t="inlineStr">
        <is>
          <t>inashanu estimate share (Assumptions #31)</t>
        </is>
      </c>
      <c r="E195" s="109" t="inlineStr">
        <is>
          <t>Perth operating MW, 2025</t>
        </is>
      </c>
    </row>
    <row r="196">
      <c r="A196" s="106" t="n">
        <v>97</v>
      </c>
      <c r="B196" s="105" t="inlineStr">
        <is>
          <t>Recon!C35</t>
        </is>
      </c>
      <c r="C196" s="105" t="inlineStr">
        <is>
          <t>operating-it-load-national</t>
        </is>
      </c>
      <c r="D196" s="109" t="inlineStr">
        <is>
          <t>inashanu estimate share (Assumptions #32)</t>
        </is>
      </c>
      <c r="E196" s="109" t="inlineStr">
        <is>
          <t>Canberra operating MW, 2025</t>
        </is>
      </c>
    </row>
    <row r="197">
      <c r="A197" s="106" t="n">
        <v>98</v>
      </c>
      <c r="B197" s="105" t="inlineStr">
        <is>
          <t>Recon!C36</t>
        </is>
      </c>
      <c r="C197" s="105" t="inlineStr">
        <is>
          <t>operating-it-load-national</t>
        </is>
      </c>
      <c r="D197" s="109" t="inlineStr">
        <is>
          <t>inashanu estimate share (Assumptions #33)</t>
        </is>
      </c>
      <c r="E197" s="109" t="inlineStr">
        <is>
          <t>Adelaide operating MW, 2025</t>
        </is>
      </c>
    </row>
    <row r="198">
      <c r="A198" s="106" t="n">
        <v>99</v>
      </c>
      <c r="B198" s="105" t="inlineStr">
        <is>
          <t>Recon!C37</t>
        </is>
      </c>
      <c r="C198" s="105" t="inlineStr">
        <is>
          <t>share-of-operating-it-load</t>
        </is>
      </c>
      <c r="D198" s="109" t="inlineStr">
        <is>
          <t>S-03; S-14</t>
        </is>
      </c>
      <c r="E198" s="109" t="inlineStr">
        <is>
          <t>Sydney share of national operating capacity</t>
        </is>
      </c>
    </row>
    <row r="199">
      <c r="A199" s="106" t="n">
        <v>100</v>
      </c>
      <c r="B199" s="105" t="inlineStr">
        <is>
          <t>Recon!C38</t>
        </is>
      </c>
      <c r="C199" s="105" t="inlineStr">
        <is>
          <t>share-of-announced-project-capacity</t>
        </is>
      </c>
      <c r="D199" s="109" t="inlineStr">
        <is>
          <t>S-11 anchor (68% UC pre-commitment)</t>
        </is>
      </c>
      <c r="E199" s="109" t="inlineStr">
        <is>
          <t>UC delivery factor, base</t>
        </is>
      </c>
    </row>
    <row r="200">
      <c r="A200" s="106" t="n">
        <v>101</v>
      </c>
      <c r="B200" s="105" t="inlineStr">
        <is>
          <t>Recon!C39</t>
        </is>
      </c>
      <c r="C200" s="105" t="inlineStr">
        <is>
          <t>share-of-announced-project-capacity</t>
        </is>
      </c>
      <c r="D200" s="109" t="inlineStr">
        <is>
          <t>S-11 (M3 Property, Nov 2025)</t>
        </is>
      </c>
      <c r="E200" s="109" t="inlineStr">
        <is>
          <t>Share of pipeline fully deliverable</t>
        </is>
      </c>
    </row>
    <row r="201">
      <c r="A201" s="106" t="n">
        <v>102</v>
      </c>
      <c r="B201" s="105" t="inlineStr">
        <is>
          <t>Recon!C40</t>
        </is>
      </c>
      <c r="C201" s="105" t="inlineStr">
        <is>
          <t>capex-per-mw-it-load</t>
        </is>
      </c>
      <c r="D201" s="109" t="inlineStr">
        <is>
          <t>S-15; S-16; S-19 derived range A$6–15m/MW</t>
        </is>
      </c>
      <c r="E201" s="109" t="inlineStr">
        <is>
          <t>Capex per MW, base</t>
        </is>
      </c>
    </row>
    <row r="202">
      <c r="A202" s="106" t="n">
        <v>103</v>
      </c>
      <c r="B202" s="105" t="inlineStr">
        <is>
          <t>Recon!C41</t>
        </is>
      </c>
      <c r="C202" s="105" t="inlineStr">
        <is>
          <t>cap-rate-au-data-centre</t>
        </is>
      </c>
      <c r="D202" s="109" t="inlineStr">
        <is>
          <t>S-31 (M3/Colliers 5.2–6.2%)</t>
        </is>
      </c>
      <c r="E202" s="109" t="inlineStr">
        <is>
          <t>Cap rate, base</t>
        </is>
      </c>
    </row>
    <row r="203">
      <c r="A203" s="106" t="n">
        <v>104</v>
      </c>
      <c r="B203" s="105" t="inlineStr">
        <is>
          <t>Recon!C42</t>
        </is>
      </c>
      <c r="C203" s="105" t="inlineStr">
        <is>
          <t>colocation-price-250-500kw</t>
        </is>
      </c>
      <c r="D203" s="109" t="inlineStr">
        <is>
          <t>S-07 (CBRE, Q1 2025)</t>
        </is>
      </c>
      <c r="E203" s="109" t="inlineStr">
        <is>
          <t>Sydney colocation price, midpoint</t>
        </is>
      </c>
    </row>
    <row r="204">
      <c r="A204" s="106" t="n">
        <v>105</v>
      </c>
      <c r="B204" s="105" t="inlineStr">
        <is>
          <t>Recon!C43</t>
        </is>
      </c>
      <c r="C204" s="105" t="inlineStr">
        <is>
          <t>fx-usd-per-aud</t>
        </is>
      </c>
      <c r="D204" s="109" t="inlineStr">
        <is>
          <t>inashanu estimate anchored on the dossier's own conversions</t>
        </is>
      </c>
      <c r="E204" s="109" t="inlineStr">
        <is>
          <t>FX assumption, US$ per A$1</t>
        </is>
      </c>
    </row>
    <row r="205">
      <c r="A205" s="106" t="n">
        <v>106</v>
      </c>
      <c r="B205" s="105" t="inlineStr">
        <is>
          <t>Recon!C44</t>
        </is>
      </c>
      <c r="C205" s="105" t="inlineStr">
        <is>
          <t>billing-to-contracted-conversion</t>
        </is>
      </c>
      <c r="D205" s="109" t="inlineStr">
        <is>
          <t>S-20 (110.9 ÷ 244.8 MW)</t>
        </is>
      </c>
      <c r="E205" s="109" t="inlineStr">
        <is>
          <t>Billing / contracted conversion</t>
        </is>
      </c>
    </row>
    <row r="206">
      <c r="A206" s="106" t="n">
        <v>107</v>
      </c>
      <c r="B206" s="105" t="inlineStr">
        <is>
          <t>Recon!C45</t>
        </is>
      </c>
      <c r="C206" s="105" t="inlineStr">
        <is>
          <t>mordor-capacity-national</t>
        </is>
      </c>
      <c r="D206" s="109" t="inlineStr">
        <is>
          <t>S-05 (3,530 MW at 15.25% CAGR)</t>
        </is>
      </c>
      <c r="E206" s="109" t="inlineStr">
        <is>
          <t>Mordor capacity basis, 2030 cross-check</t>
        </is>
      </c>
    </row>
    <row r="207">
      <c r="A207" s="106" t="n">
        <v>108</v>
      </c>
      <c r="B207" s="105" t="inlineStr">
        <is>
          <t>Recon!C46</t>
        </is>
      </c>
      <c r="C207" s="105" t="inlineStr">
        <is>
          <t>nextdc-margin-on-net-revenue</t>
        </is>
      </c>
      <c r="D207" s="109" t="inlineStr">
        <is>
          <t>S-22; S-23</t>
        </is>
      </c>
      <c r="E207" s="109" t="inlineStr">
        <is>
          <t>NEXTDC FY26 EBITDA margin on net revenue</t>
        </is>
      </c>
    </row>
    <row r="208">
      <c r="A208" s="106" t="n">
        <v>109</v>
      </c>
      <c r="B208" s="105" t="inlineStr">
        <is>
          <t>Recon!C47</t>
        </is>
      </c>
      <c r="C208" s="105" t="inlineStr">
        <is>
          <t>transaction-implied-ebitda</t>
        </is>
      </c>
      <c r="D208" s="109" t="inlineStr">
        <is>
          <t>EV A$24bn ÷ 21x contracted (S-17; S-19)</t>
        </is>
      </c>
      <c r="E208" s="109" t="inlineStr">
        <is>
          <t>AirTrunk implied contracted EBITDA</t>
        </is>
      </c>
    </row>
    <row r="209">
      <c r="A209" s="106" t="n">
        <v>110</v>
      </c>
      <c r="B209" s="105" t="inlineStr">
        <is>
          <t>Recon!C48</t>
        </is>
      </c>
      <c r="C209" s="105" t="inlineStr">
        <is>
          <t>infratil-cdc-valuation</t>
        </is>
      </c>
      <c r="D209" s="109" t="inlineStr">
        <is>
          <t>S-25; S-26</t>
        </is>
      </c>
      <c r="E209" s="109" t="inlineStr">
        <is>
          <t>CDC independent valuation, 30 Jun 2026</t>
        </is>
      </c>
    </row>
    <row r="210">
      <c r="A210" s="106" t="n">
        <v>111</v>
      </c>
      <c r="B210" s="105" t="inlineStr">
        <is>
          <t>Recon!C49</t>
        </is>
      </c>
      <c r="C210" s="105" t="inlineStr">
        <is>
          <t>operating-over-mordor-capacity</t>
        </is>
      </c>
      <c r="D210" s="109" t="inlineStr">
        <is>
          <t>1,350 (S-09) ÷ 3,530 (S-05)</t>
        </is>
      </c>
      <c r="E210" s="109" t="inlineStr">
        <is>
          <t>Operating IT load as a share of the Mordor capacity basis, 2025</t>
        </is>
      </c>
    </row>
    <row r="211">
      <c r="A211" s="106" t="n">
        <v>112</v>
      </c>
      <c r="B211" s="105" t="inlineStr">
        <is>
          <t>Recon!C50</t>
        </is>
      </c>
      <c r="C211" s="105" t="inlineStr">
        <is>
          <t>operating-it-load-national</t>
        </is>
      </c>
      <c r="D211" s="109" t="inlineStr">
        <is>
          <t>S-05 restated onto the operating basis at the same-year ratio of S-09 to S-05 — a memo, not an input</t>
        </is>
      </c>
      <c r="E211" s="109" t="inlineStr">
        <is>
          <t>Mordor 2030 figure restated at that ratio</t>
        </is>
      </c>
    </row>
    <row r="212"/>
    <row r="213">
      <c r="A213" s="94" t="inlineStr">
        <is>
          <t>How to read a failure. The checker parses every formula in this workbook, walks its precedents, and derives what the result counts. Addition and subtraction demand one basis on both sides. Multiplication by a share or a probability keeps the basis; multiplication by a share of something else does not. A ratio of two quantities on one basis is dimensionless; a ratio across two bases is an error whatever the labels say, unless section C names the result. A growth rate compounds a stock only on the basis it was measured on. A quantity changes basis only through a factor in section B, and the use is recorded. The derived answer is then compared with the label printed in the Basis column and with the identifier declared in section D, and a disagreement fails the build. The label is evidence, not authority.</t>
        </is>
      </c>
    </row>
    <row r="214">
      <c r="A214" s="94" t="inlineStr">
        <is>
          <t>What the parser does not read. Defined names, table references, array formulas, data-table formulas, INDEX, MATCH, VLOOKUP, OFFSET, INDIRECT, whole-column references, and any function outside ABS, AND, AVERAGE, CHOOSE, COUNTA, COUNTIF, IF, MAX, MIN, OR, ROUND, SUM and SUMIFS. A formula using any of them is reported as a failure. A checker that passes what it cannot read is the checker this one replaces.
What this check does not cover, stated so the limit is visible. It reads formulas. Where a cell holds a typed number, its Basis column entry is the only evidence of what that number measures, and the check accepts it: replacing a computed cell with a typed number therefore removes it from the derivation the checker can see. A multiplier written inline in a formula, rather than referenced from section B, is read as arithmetic and not as a change of basis. A factor declared in section B is not tested against its own inverse, so a conversion and a return trip are not required to compose to one. A scaler declared dimensionless multiplies any quantity without changing its basis, whatever its magnitude. Each of these was demonstrated against this workbook rather than imagined. The Basis column on an input cell is an assertion by its author; the check governs what is derived from it.</t>
        </is>
      </c>
    </row>
  </sheetData>
  <printOptions horizontalCentered="0"/>
  <pageMargins left="0.4" right="0.4" top="0.5" bottom="0.5" header="0.5" footer="0.5"/>
  <pageSetup orientation="landscape" fitToHeight="0" fitToWidth="1"/>
</worksheet>
</file>

<file path=xl/worksheets/sheet3.xml><?xml version="1.0" encoding="utf-8"?>
<worksheet xmlns="http://schemas.openxmlformats.org/spreadsheetml/2006/main">
  <sheetPr>
    <tabColor rgb="00C2410C"/>
    <outlinePr summaryBelow="1" summaryRight="1"/>
    <pageSetUpPr fitToPage="1"/>
  </sheetPr>
  <dimension ref="A1:E60"/>
  <sheetViews>
    <sheetView showGridLines="0" workbookViewId="0">
      <pane xSplit="1" ySplit="4" topLeftCell="B5" activePane="bottomRight" state="frozen"/>
      <selection pane="topRight" activeCell="A1" sqref="A1"/>
      <selection pane="bottomLeft" activeCell="A1" sqref="A1"/>
      <selection pane="bottomRight" activeCell="A1" sqref="A1"/>
    </sheetView>
  </sheetViews>
  <sheetFormatPr baseColWidth="8" defaultRowHeight="15"/>
  <cols>
    <col width="10" customWidth="1" min="1" max="1"/>
    <col width="30" customWidth="1" min="2" max="2"/>
    <col width="12" customWidth="1" min="3" max="3"/>
    <col width="80" customWidth="1" min="4" max="4"/>
    <col width="60" customWidth="1" min="5" max="5"/>
  </cols>
  <sheetData>
    <row r="1">
      <c r="A1" s="91" t="inlineStr">
        <is>
          <t>Source Log</t>
        </is>
      </c>
      <c r="B1" s="91" t="n"/>
      <c r="C1" s="91" t="n"/>
      <c r="D1" s="91" t="n"/>
      <c r="E1" s="91" t="n"/>
    </row>
    <row r="2">
      <c r="A2" s="92" t="inlineStr">
        <is>
          <t>Numbered sources matching research/au-data-centre-dossier.md (compiled 17 Sep 2026). Every model input cites one of these.</t>
        </is>
      </c>
      <c r="B2" s="92" t="n"/>
      <c r="C2" s="92" t="n"/>
      <c r="D2" s="92" t="n"/>
      <c r="E2" s="92" t="n"/>
    </row>
    <row r="3"/>
    <row r="4">
      <c r="A4" s="95" t="inlineStr">
        <is>
          <t>Source #</t>
        </is>
      </c>
      <c r="B4" s="95" t="inlineStr">
        <is>
          <t>Publisher</t>
        </is>
      </c>
      <c r="C4" s="95" t="inlineStr">
        <is>
          <t>Date</t>
        </is>
      </c>
      <c r="D4" s="95" t="inlineStr">
        <is>
          <t>What it evidences in this model</t>
        </is>
      </c>
      <c r="E4" s="95" t="inlineStr">
        <is>
          <t>URL</t>
        </is>
      </c>
    </row>
    <row r="5">
      <c r="A5" s="105" t="inlineStr">
        <is>
          <t>S-01</t>
        </is>
      </c>
      <c r="B5" s="97" t="inlineStr">
        <is>
          <t>IBISWorld</t>
        </is>
      </c>
      <c r="C5" s="96" t="inlineStr">
        <is>
          <t>Oct 2025</t>
        </is>
      </c>
      <c r="D5" s="97" t="inlineStr">
        <is>
          <t>Cloud Hosting &amp; Data Processing Services (J5921): A$3.2bn 2024, A$3.5bn 2025 (+9.8%), A$4.1bn 2026F; CAGR 7.6% 2020–25.</t>
        </is>
      </c>
      <c r="E5" s="113" t="inlineStr">
        <is>
          <t>https://www.ibisworld.com/australia/market-size/cloud-hosting-and-data-processing-services/2246/</t>
        </is>
      </c>
    </row>
    <row r="6">
      <c r="A6" s="105" t="inlineStr">
        <is>
          <t>S-02</t>
        </is>
      </c>
      <c r="B6" s="97" t="inlineStr">
        <is>
          <t>IBISWorld</t>
        </is>
      </c>
      <c r="C6" s="96" t="inlineStr">
        <is>
          <t>Mar 2026</t>
        </is>
      </c>
      <c r="D6" s="97" t="inlineStr">
        <is>
          <t>Internet Hosting Services (OD5323, incl. colocation): A$1.5bn 2026; +10.8% 2025-26; CAGR 9.2% 2021–26.</t>
        </is>
      </c>
      <c r="E6" s="113" t="inlineStr">
        <is>
          <t>https://www.ibisworld.com/australia/industry/internet-hosting-services/5323/</t>
        </is>
      </c>
    </row>
    <row r="7">
      <c r="A7" s="105" t="inlineStr">
        <is>
          <t>S-03</t>
        </is>
      </c>
      <c r="B7" s="97" t="inlineStr">
        <is>
          <t>IMARC</t>
        </is>
      </c>
      <c r="C7" s="96" t="inlineStr">
        <is>
          <t>2026 edition</t>
        </is>
      </c>
      <c r="D7" s="97" t="inlineStr">
        <is>
          <t>Market US$3.7bn 2020 → US$4.8bn 2025 → US$8.2bn 2034 (5.47% CAGR); regional revenue shares; Sydney ~60% built-out capacity / ~65% pipeline; edge 16.8%.</t>
        </is>
      </c>
      <c r="E7" s="113" t="inlineStr">
        <is>
          <t>https://www.imarcgroup.com/australia-data-center-market</t>
        </is>
      </c>
    </row>
    <row r="8">
      <c r="A8" s="105" t="inlineStr">
        <is>
          <t>S-04</t>
        </is>
      </c>
      <c r="B8" s="97" t="inlineStr">
        <is>
          <t>ResearchAndMarkets</t>
        </is>
      </c>
      <c r="C8" s="96" t="inlineStr">
        <is>
          <t>2026</t>
        </is>
      </c>
      <c r="D8" s="97" t="inlineStr">
        <is>
          <t>Market US$4.22bn 2025 → US$9.02bn 2031 (13.5% CAGR).</t>
        </is>
      </c>
      <c r="E8" s="113" t="inlineStr">
        <is>
          <t>https://www.researchandmarkets.com/report/australia-data-centers-market</t>
        </is>
      </c>
    </row>
    <row r="9">
      <c r="A9" s="105" t="inlineStr">
        <is>
          <t>S-05</t>
        </is>
      </c>
      <c r="B9" s="97" t="inlineStr">
        <is>
          <t>Mordor Intelligence</t>
        </is>
      </c>
      <c r="C9" s="96" t="inlineStr">
        <is>
          <t>Jan 2026</t>
        </is>
      </c>
      <c r="D9" s="97" t="inlineStr">
        <is>
          <t>Published sentence, quoted whole because the opening clause is the only part that names the basis: "In terms of IT load capacity, the market is expected to grow from 3.53 thousand megawatt in 2025 to 7.18 thousand megawatt by 2030, at a CAGR of 15.25% during the forecast period (2025-2030)." The publisher defines that measure in a sentence of its own: "The IT load capacity or installed capacity, refers to the amount of energy consumed by servers and network equipments placed in a rack installed." That is the energy of servers and network equipment in an installed rack, and it excludes facility overhead. A rack installed may not yet be drawing load, so the count runs ahead of operating IT load: it puts 2025 at 3,530 MW where the operating figure is 1,350 MW. Carried as a flagged series at Market_Sizing section E. Not an input to any scenario since 21 Sep 2026.</t>
        </is>
      </c>
      <c r="E9" s="113" t="inlineStr">
        <is>
          <t>https://www.mordorintelligence.com/industry-reports/australia-data-center-market</t>
        </is>
      </c>
    </row>
    <row r="10">
      <c r="A10" s="105" t="inlineStr">
        <is>
          <t>S-06</t>
        </is>
      </c>
      <c r="B10" s="97" t="inlineStr">
        <is>
          <t>Mordor Intelligence</t>
        </is>
      </c>
      <c r="C10" s="96" t="inlineStr">
        <is>
          <t>Mar 2026</t>
        </is>
      </c>
      <c r="D10" s="97" t="inlineStr">
        <is>
          <t>Hyperscale segment US$6.27bn 2026 → US$16.18bn 2031 (20.88% CAGR).</t>
        </is>
      </c>
      <c r="E10" s="113" t="inlineStr">
        <is>
          <t>https://www.mordorintelligence.com/industry-reports/australia-hyperscale-data-center-market</t>
        </is>
      </c>
    </row>
    <row r="11">
      <c r="A11" s="105" t="inlineStr">
        <is>
          <t>S-07</t>
        </is>
      </c>
      <c r="B11" s="97" t="inlineStr">
        <is>
          <t>CBRE</t>
        </is>
      </c>
      <c r="C11" s="96" t="inlineStr">
        <is>
          <t>24 Jun 2025</t>
        </is>
      </c>
      <c r="D11" s="97" t="inlineStr">
        <is>
          <t>Global Data Center Trends 2025: Sydney colocation US$140–215/kW/mo (250–500 kW, Q1 2025); Singapore 310–470; Tokyo 190–355; global avg US$217.30; vacancy 6.6%.</t>
        </is>
      </c>
      <c r="E11" s="113" t="inlineStr">
        <is>
          <t>https://www.cbre.com/insights/reports/global-data-center-trends-2025</t>
        </is>
      </c>
    </row>
    <row r="12">
      <c r="A12" s="105" t="inlineStr">
        <is>
          <t>S-08</t>
        </is>
      </c>
      <c r="B12" s="97" t="inlineStr">
        <is>
          <t>CBRE via LinkedIn (Sai Naicker)</t>
        </is>
      </c>
      <c r="C12" s="96" t="inlineStr">
        <is>
          <t>2026</t>
        </is>
      </c>
      <c r="D12" s="97" t="inlineStr">
        <is>
          <t>Live capacity ~1.3–1.5 GW, reaching ~1.8 GW within three years.</t>
        </is>
      </c>
      <c r="E12" s="113" t="inlineStr">
        <is>
          <t>https://www.linkedin.com/pulse/inside-australias-7-billion-data-centre-market-sai-naicker-y2kpc</t>
        </is>
      </c>
    </row>
    <row r="13">
      <c r="A13" s="105" t="inlineStr">
        <is>
          <t>S-09</t>
        </is>
      </c>
      <c r="B13" s="97" t="inlineStr">
        <is>
          <t>ITK Research</t>
        </is>
      </c>
      <c r="C13" s="96" t="inlineStr">
        <is>
          <t>11 May 2026</t>
        </is>
      </c>
      <c r="D13" s="97" t="inlineStr">
        <is>
          <t>Operating IT load ~1.35 GW end-2025 (CEFC/Baringa, USSC, Oxford Economics convergence); CEFC/Baringa 4.7–7.4 GW by 2035; AEMO 44 GW connection requests vs ~6 GW Step Change; phantom-demand warning.</t>
        </is>
      </c>
      <c r="E13" s="113" t="inlineStr">
        <is>
          <t>https://itkservices3.com/background/data_centres_industry_response</t>
        </is>
      </c>
    </row>
    <row r="14">
      <c r="A14" s="105" t="inlineStr">
        <is>
          <t>S-10</t>
        </is>
      </c>
      <c r="B14" s="97" t="inlineStr">
        <is>
          <t>M3 Property</t>
        </is>
      </c>
      <c r="C14" s="96" t="inlineStr">
        <is>
          <t>18 Nov 2025</t>
        </is>
      </c>
      <c r="D14" s="97" t="inlineStr">
        <is>
          <t>Occupancy 37 MW 2005 → 1,315 MW 2025 (40-fold; two-thirds since 2020); AI demand ~27x; take-up &gt; new supply 2023 &amp; 2024 (first on record).</t>
        </is>
      </c>
      <c r="E14" s="113" t="inlineStr">
        <is>
          <t>https://m3property.com.au/australias-data-centre-sector-expands-fortyfold-in-the-past-20-years/</t>
        </is>
      </c>
    </row>
    <row r="15">
      <c r="A15" s="105" t="inlineStr">
        <is>
          <t>S-11</t>
        </is>
      </c>
      <c r="B15" s="97" t="inlineStr">
        <is>
          <t>M3 Property via The Industrialist</t>
        </is>
      </c>
      <c r="C15" s="96" t="inlineStr">
        <is>
          <t>24 Nov 2025</t>
        </is>
      </c>
      <c r="D15" s="97" t="inlineStr">
        <is>
          <t>Built-out ~2,000 MW 2025 → ~9,500 MW early 2030s; ~A$26bn investment to 2030; 1.7 GW supply gap; 68% of UC pre-committed (Dec 2024) vs 38% long-run; only ~25% of pipeline fully deliverable.</t>
        </is>
      </c>
      <c r="E15" s="113" t="inlineStr">
        <is>
          <t>https://www.theindustrialist.com.au/news/2025/11/24/australia%E2%80%99s-data-centre-sector-expands-fortyfold-past-20-years-m3-property</t>
        </is>
      </c>
    </row>
    <row r="16">
      <c r="A16" s="105" t="inlineStr">
        <is>
          <t>S-12</t>
        </is>
      </c>
      <c r="B16" s="97" t="inlineStr">
        <is>
          <t>Climate Council / DC Byte</t>
        </is>
      </c>
      <c r="C16" s="96" t="inlineStr">
        <is>
          <t>Jun 2026</t>
        </is>
      </c>
      <c r="D16" s="97" t="inlineStr">
        <is>
          <t>NSW pipeline 44 projects / 11.4 GW (31 Mar 2026); DC demand +26% NSW / +23% VIC wholesale prices by 2035 (gas-met scenario); AEMO consumption path ~4→12 TWh FY25→FY30.</t>
        </is>
      </c>
      <c r="E16" s="113" t="inlineStr">
        <is>
          <t>https://www.climatecouncil.org.au/wp-content/uploads/2026/06/CC-Report-Data-Centres.pdf</t>
        </is>
      </c>
    </row>
    <row r="17">
      <c r="A17" s="105" t="inlineStr">
        <is>
          <t>S-13</t>
        </is>
      </c>
      <c r="B17" s="97" t="inlineStr">
        <is>
          <t>ResearchAndMarkets via Business Wire</t>
        </is>
      </c>
      <c r="C17" s="96" t="inlineStr">
        <is>
          <t>5 Dec 2025</t>
        </is>
      </c>
      <c r="D17" s="97" t="inlineStr">
        <is>
          <t>145 existing + 48 upcoming facilities across 26+ cities; CDC, NEXTDC, AirTrunk named dominant trio.</t>
        </is>
      </c>
      <c r="E17" s="113" t="inlineStr">
        <is>
          <t>https://www.businesswire.com/news/home/20251205007956/en/</t>
        </is>
      </c>
    </row>
    <row r="18">
      <c r="A18" s="105" t="inlineStr">
        <is>
          <t>S-14</t>
        </is>
      </c>
      <c r="B18" s="97" t="inlineStr">
        <is>
          <t>ResearchAndMarkets via Business Wire</t>
        </is>
      </c>
      <c r="C18" s="96" t="inlineStr">
        <is>
          <t>16 Jul 2025</t>
        </is>
      </c>
      <c r="D18" s="97" t="inlineStr">
        <is>
          <t>Sydney ~60% of built-out capacity and ~65% of upcoming power pipeline.</t>
        </is>
      </c>
      <c r="E18" s="113" t="inlineStr">
        <is>
          <t>https://www.businesswire.com/news/home/20250716298816/en/</t>
        </is>
      </c>
    </row>
    <row r="19">
      <c r="A19" s="105" t="inlineStr">
        <is>
          <t>S-15</t>
        </is>
      </c>
      <c r="B19" s="97" t="inlineStr">
        <is>
          <t>ITK Research</t>
        </is>
      </c>
      <c r="C19" s="96" t="inlineStr">
        <is>
          <t>11 May 2026</t>
        </is>
      </c>
      <c r="D19" s="97" t="inlineStr">
        <is>
          <t>Top-10 projects under construction: CDC Laverton 150+300 MW A$2.7bn; Stack MEL02 252 MW; NEXTDC M4 A$2bn; AirTrunk MEL2 354+ MW A$5bn+; Firmus MEL 150 MW A$4.5bn; Macquarie IC3 63 MW A$350m; GreenSquareDC 110 MW A$1.2bn.</t>
        </is>
      </c>
      <c r="E19" s="113" t="inlineStr">
        <is>
          <t>https://itkservices3.com/background/data_centres_australia_top10_construction</t>
        </is>
      </c>
    </row>
    <row r="20">
      <c r="A20" s="105" t="inlineStr">
        <is>
          <t>S-16</t>
        </is>
      </c>
      <c r="B20" s="97" t="inlineStr">
        <is>
          <t>NSW Planning Portal</t>
        </is>
      </c>
      <c r="C20" s="96" t="inlineStr">
        <is>
          <t>Nov 2025</t>
        </is>
      </c>
      <c r="D20" s="97" t="inlineStr">
        <is>
          <t>CDC Marsden Park SSD approval: 504 MW, six buildings + 720 MW substation, A$3.1bn, scalable to ~1 GW.</t>
        </is>
      </c>
      <c r="E20" s="113" t="inlineStr">
        <is>
          <t>https://www.planningportal.nsw.gov.au/major-projects/projects/marsden-park-data-centre</t>
        </is>
      </c>
    </row>
    <row r="21">
      <c r="A21" s="105" t="inlineStr">
        <is>
          <t>S-17</t>
        </is>
      </c>
      <c r="B21" s="97" t="inlineStr">
        <is>
          <t>Reuters</t>
        </is>
      </c>
      <c r="C21" s="96" t="inlineStr">
        <is>
          <t>4 Sep 2024</t>
        </is>
      </c>
      <c r="D21" s="97" t="inlineStr">
        <is>
          <t>Blackstone/CPPIB acquire AirTrunk: implied EV &gt;A$24bn (US$16.1bn); largest DC transaction globally at the time; completed Dec 2024.</t>
        </is>
      </c>
      <c r="E21" s="113" t="inlineStr">
        <is>
          <t>https://www.reuters.com/markets/deals/blackstone-buy-australias-airtrunk-16-billion-deal-2024-09-04/</t>
        </is>
      </c>
    </row>
    <row r="22">
      <c r="A22" s="105" t="inlineStr">
        <is>
          <t>S-18</t>
        </is>
      </c>
      <c r="B22" s="97" t="inlineStr">
        <is>
          <t>Reuters Breakingviews</t>
        </is>
      </c>
      <c r="C22" s="96" t="inlineStr">
        <is>
          <t>5 Sep 2024</t>
        </is>
      </c>
      <c r="D22" s="97" t="inlineStr">
        <is>
          <t>AirTrunk ~87x expected 2024 EBITDA (per AFR); Macquarie/PSP acquired 88% in 2020 at ~A$3bn — ~8x uplift in four years.</t>
        </is>
      </c>
      <c r="E22" s="113" t="inlineStr">
        <is>
          <t>https://www.reuters.com/breakingviews/blackstone-16-bln-ai-deal-borrows-spac-boom-2024-09-05/</t>
        </is>
      </c>
    </row>
    <row r="23">
      <c r="A23" s="105" t="inlineStr">
        <is>
          <t>S-19</t>
        </is>
      </c>
      <c r="B23" s="97" t="inlineStr">
        <is>
          <t>PwC Australia</t>
        </is>
      </c>
      <c r="C23" s="96" t="inlineStr">
        <is>
          <t>10 Mar 2026</t>
        </is>
      </c>
      <c r="D23" s="97" t="inlineStr">
        <is>
          <t>Data centre valuation: AirTrunk 21x contracted EBITDA; observed DC yield range 3.50%–7.04%; land comparable sales table; Global Switch SYD1 ~24.7x EBITDA implies ~4.05% earnings yield.</t>
        </is>
      </c>
      <c r="E23" s="113" t="inlineStr">
        <is>
          <t>https://www.pwc.com.au/real-estate/data-centre-valuation.html</t>
        </is>
      </c>
    </row>
    <row r="24">
      <c r="A24" s="105" t="inlineStr">
        <is>
          <t>S-20</t>
        </is>
      </c>
      <c r="B24" s="97" t="inlineStr">
        <is>
          <t>Kalkine</t>
        </is>
      </c>
      <c r="C24" s="96" t="inlineStr">
        <is>
          <t>21 Jul 2026</t>
        </is>
      </c>
      <c r="D24" s="97" t="inlineStr">
        <is>
          <t>NEXTDC: contracted 244.8 MW / billing 110.9 MW end-FY25; pro forma 667 MW (Apr 2026); 740 MW contracted + 565 MW forward order book (21 Jul 2026); FY25 capex A$1,595.8m; senior debt capacity ~A$8.7bn.</t>
        </is>
      </c>
      <c r="E24" s="113" t="inlineStr">
        <is>
          <t>https://kalkine.com.au/news/technology/nextdc-asxnxt-locks-in-73mw-of-new-capacity-as-ai-data-centre-demand-accelerates</t>
        </is>
      </c>
    </row>
    <row r="25">
      <c r="A25" s="105" t="inlineStr">
        <is>
          <t>S-21</t>
        </is>
      </c>
      <c r="B25" s="97" t="inlineStr">
        <is>
          <t>MarketScreener</t>
        </is>
      </c>
      <c r="C25" s="96" t="inlineStr">
        <is>
          <t>live quote page; retrieved 21 Sep 2026, re-checked 22 Sep 2026</t>
        </is>
      </c>
      <c r="D25" s="97" t="inlineStr">
        <is>
          <t>NEXTDC Limited (NXT) quote and daily closes: 16 Sep 2026 close A$11.39; 52-wk range A$10.91–17.84 on that close; market capitalisation ~A$8.63bn; average analyst target A$20.03. The quote and the range move without this workbook changing.</t>
        </is>
      </c>
      <c r="E25" s="113" t="inlineStr">
        <is>
          <t>https://www.marketscreener.com/quote/stock/NEXTDC-LIMITED-9015368/</t>
        </is>
      </c>
    </row>
    <row r="26">
      <c r="A26" s="105" t="inlineStr">
        <is>
          <t>S-22</t>
        </is>
      </c>
      <c r="B26" s="97" t="inlineStr">
        <is>
          <t>Motley Fool</t>
        </is>
      </c>
      <c r="C26" s="96" t="inlineStr">
        <is>
          <t>9 Sep 2026</t>
        </is>
      </c>
      <c r="D26" s="97" t="inlineStr">
        <is>
          <t>NEXTDC FY26: total revenue A$496.5m (+16%), uEBITDA A$248.8m (+15%); D&amp;A A$262.5m; interest A$81.7m; FCF −A$1.98bn; shares −14% in a month.</t>
        </is>
      </c>
      <c r="E26" s="113" t="inlineStr">
        <is>
          <t>https://www.fool.com.au/2026/09/09/nextdc-shares-have-fallen-14-in-a-month-is-the-ai-data-centre-boom-over/</t>
        </is>
      </c>
    </row>
    <row r="27">
      <c r="A27" s="105" t="inlineStr">
        <is>
          <t>S-23</t>
        </is>
      </c>
      <c r="B27" s="97" t="inlineStr">
        <is>
          <t>WealthQuestLab (ASX filings cross-validation)</t>
        </is>
      </c>
      <c r="C27" s="96" t="inlineStr">
        <is>
          <t>31 Jul 2026</t>
        </is>
      </c>
      <c r="D27" s="97" t="inlineStr">
        <is>
          <t>NEXTDC FY25: total revenue A$427.2m (+5.7%), net revenue A$350.2m, uEBITDA A$216.7m, statutory loss A$60.5m; FY26 net revenue A$405.0m; 1H26 revenue ~A$205.5m, uEBITDA A$115.3m, net loss A$39.4m.</t>
        </is>
      </c>
      <c r="E27" s="113" t="inlineStr">
        <is>
          <t>https://www.wealthquestlab.com/research/ASX/NXT</t>
        </is>
      </c>
    </row>
    <row r="28">
      <c r="A28" s="105" t="inlineStr">
        <is>
          <t>S-24</t>
        </is>
      </c>
      <c r="B28" s="97" t="inlineStr">
        <is>
          <t>DCD</t>
        </is>
      </c>
      <c r="C28" s="96" t="inlineStr">
        <is>
          <t>24 Jun 2026</t>
        </is>
      </c>
      <c r="D28" s="97" t="inlineStr">
        <is>
          <t>CDC ownership: Infratil 49.72–49.75%, Future Fund 34.55%, CSC 12.04%, mgmt 3.66%; Feb 2025 reshuffle priced CDC at ~A$17bn EV.</t>
        </is>
      </c>
      <c r="E28" s="113" t="inlineStr">
        <is>
          <t>https://www.datacenterdynamics.com/en/news/infratil-increases-stake-in-canberra-data-centres-close-to-50/</t>
        </is>
      </c>
    </row>
    <row r="29">
      <c r="A29" s="105" t="inlineStr">
        <is>
          <t>S-25</t>
        </is>
      </c>
      <c r="B29" s="97" t="inlineStr">
        <is>
          <t>Globe and Mail / TipRanks</t>
        </is>
      </c>
      <c r="C29" s="96" t="inlineStr">
        <is>
          <t>7 Aug 2026</t>
        </is>
      </c>
      <c r="D29" s="97" t="inlineStr">
        <is>
          <t>CDC independent valuation: A$14.0bn (31 Dec 2025) → A$15.0bn (Mar 2026) → A$18.5bn (30 Jun 2026, cited +23.6% q/q); Infratil stake A$9.21bn; CDC ~40% of Infratil portfolio.</t>
        </is>
      </c>
      <c r="E29" s="113" t="inlineStr">
        <is>
          <t>https://www.theglobeandmail.com/investing/markets/markets-news/Tipranks/36913898/</t>
        </is>
      </c>
    </row>
    <row r="30">
      <c r="A30" s="105" t="inlineStr">
        <is>
          <t>S-26</t>
        </is>
      </c>
      <c r="B30" s="97" t="inlineStr">
        <is>
          <t>RNZ</t>
        </is>
      </c>
      <c r="C30" s="96" t="inlineStr">
        <is>
          <t>6 Jul 2026</t>
        </is>
      </c>
      <c r="D30" s="97" t="inlineStr">
        <is>
          <t>CDC valuation step-up to A$18.5bn; Anthropic reportedly lining up AU contracts with CDC 'in the hot seat' (Forsyth Barr).</t>
        </is>
      </c>
      <c r="E30" s="113" t="inlineStr">
        <is>
          <t>https://www.rnz.co.nz/news/business/679228/</t>
        </is>
      </c>
    </row>
    <row r="31">
      <c r="A31" s="105" t="inlineStr">
        <is>
          <t>S-27</t>
        </is>
      </c>
      <c r="B31" s="97" t="inlineStr">
        <is>
          <t>Bloomberg via Energy Connects</t>
        </is>
      </c>
      <c r="C31" s="96" t="inlineStr">
        <is>
          <t>6 May 2026</t>
        </is>
      </c>
      <c r="D31" s="97" t="inlineStr">
        <is>
          <t>CDC 555 MW, 10-yr min US hyperscale contract (largest in AU history, ~40% of 2025 national operating capacity); 1 GW deployed ≈ ~A$2bn annualised contracted EBITDA; FY28 EBITDA ≥A$1bn vs ~A$400m current; pipeline 3.9 GW to FY2040, ~A$20bn incremental capex.</t>
        </is>
      </c>
      <c r="E31" s="113" t="inlineStr">
        <is>
          <t>https://www.energyconnects.com/news/utilities/2026/may/infratil-shares-surge-as-cdc-signs-monster-data-center-deal/</t>
        </is>
      </c>
    </row>
    <row r="32">
      <c r="A32" s="105" t="inlineStr">
        <is>
          <t>S-28</t>
        </is>
      </c>
      <c r="B32" s="97" t="inlineStr">
        <is>
          <t>Equinix</t>
        </is>
      </c>
      <c r="C32" s="96" t="inlineStr">
        <is>
          <t>18 Apr 2018</t>
        </is>
      </c>
      <c r="D32" s="97" t="inlineStr">
        <is>
          <t>Metronode acquisition A$1.035bn, ~16x EBITDA, ~US$8m/MW; 18 IBX facilities in AU.</t>
        </is>
      </c>
      <c r="E32" s="113" t="inlineStr">
        <is>
          <t>https://www.equinix.com/newsroom/press-releases/2018/04/equinix-closes-metronode-acquisition-to-become-market-leader-in-australia</t>
        </is>
      </c>
    </row>
    <row r="33">
      <c r="A33" s="105" t="inlineStr">
        <is>
          <t>S-29</t>
        </is>
      </c>
      <c r="B33" s="97" t="inlineStr">
        <is>
          <t>Goodman Group</t>
        </is>
      </c>
      <c r="C33" s="96" t="inlineStr">
        <is>
          <t>18 Feb 2026</t>
        </is>
      </c>
      <c r="D33" s="97" t="inlineStr">
        <is>
          <t>1H26: power bank 6.0 GW (Dec 2025); DCs 73% of A$14.4bn WIP; forecast yield on cost 8.1%; market cap ~A$61.8bn.</t>
        </is>
      </c>
      <c r="E33" s="113" t="inlineStr">
        <is>
          <t>https://www.goodman.com/investor-centre/announcements-media/2026/goodman-group-reports-operating-profit-while-strengthening-the-data-centre-pipeline-in-1h26</t>
        </is>
      </c>
    </row>
    <row r="34">
      <c r="A34" s="105" t="inlineStr">
        <is>
          <t>S-30</t>
        </is>
      </c>
      <c r="B34" s="97" t="inlineStr">
        <is>
          <t>Savills</t>
        </is>
      </c>
      <c r="C34" s="96" t="inlineStr">
        <is>
          <t>Q1 2025</t>
        </is>
      </c>
      <c r="D34" s="97" t="inlineStr">
        <is>
          <t>APAC Data Centre Spotlight: tier-1 investment-grade DC yields ~5% avg (4–7% range); Global Switch SYD1 est. cap rate ~4.4%; AU 59% of APAC DC transaction volume 2024.</t>
        </is>
      </c>
      <c r="E34" s="113" t="inlineStr">
        <is>
          <t>https://pdf.savills.asia/asia-pacific-research/asia-pacific-research/ap-data-centre-spotlight-01-2025.pdf</t>
        </is>
      </c>
    </row>
    <row r="35">
      <c r="A35" s="105" t="inlineStr">
        <is>
          <t>S-31</t>
        </is>
      </c>
      <c r="B35" s="97" t="inlineStr">
        <is>
          <t>M3 Property</t>
        </is>
      </c>
      <c r="C35" s="96" t="inlineStr">
        <is>
          <t>Sep 2024</t>
        </is>
      </c>
      <c r="D35" s="97" t="inlineStr">
        <is>
          <t>Data Centre Insight: AU DC cap rates 5.2%–6.2%; IBISWorld data storage A$5.2bn FY2023; Sydney pricing among APAC's most competitive.</t>
        </is>
      </c>
      <c r="E35" s="113" t="inlineStr">
        <is>
          <t>https://m3property.com.au/static/6bf62cb9d98da7205f8f30dbb8919748/Data-Centre-Insight-September-24.pdf</t>
        </is>
      </c>
    </row>
    <row r="36">
      <c r="A36" s="105" t="inlineStr">
        <is>
          <t>S-32</t>
        </is>
      </c>
      <c r="B36" s="97" t="inlineStr">
        <is>
          <t>CNBC</t>
        </is>
      </c>
      <c r="C36" s="96" t="inlineStr">
        <is>
          <t>23 Apr 2026</t>
        </is>
      </c>
      <c r="D36" s="97" t="inlineStr">
        <is>
          <t>Microsoft A$25bn (US$18bn) AU commitment to end-2029; &gt;140% capacity growth; 29 DC locations; 4th Azure region (Melbourne) opened Jul 2025 (48 MW → 150 MW).</t>
        </is>
      </c>
      <c r="E36" s="113" t="inlineStr">
        <is>
          <t>https://www.cnbc.com/2026/04/23/microsoft-expands-ai-footprint-in-australia-with-18-billion-investment.html</t>
        </is>
      </c>
    </row>
    <row r="37">
      <c r="A37" s="105" t="inlineStr">
        <is>
          <t>S-33</t>
        </is>
      </c>
      <c r="B37" s="97" t="inlineStr">
        <is>
          <t>AEMO / Oxford Economics</t>
        </is>
      </c>
      <c r="C37" s="96" t="inlineStr">
        <is>
          <t>2025 IASR</t>
        </is>
      </c>
      <c r="D37" s="97" t="inlineStr">
        <is>
          <t>DC consumption ~3.9–4 TWh FY2025 → ~12 TWh FY2030 (~6% of NEM) → ~34 TWh FY2049-50; Step Change implies ~6 GW by 2030; ~6 of 7 requested MW 'phantom demand'.</t>
        </is>
      </c>
      <c r="E37" s="113" t="inlineStr">
        <is>
          <t>https://www.aemo.com.au/-/media/files/stakeholder_consultation/consultations/nem-consultations/2024/2025-iasr-scenarios/final-docs/Oxford-Economics-Australia-Data-centre-energy-consumption-report</t>
        </is>
      </c>
    </row>
    <row r="38">
      <c r="A38" s="105" t="inlineStr">
        <is>
          <t>S-34</t>
        </is>
      </c>
      <c r="B38" s="97" t="inlineStr">
        <is>
          <t>Certified Strategic (CBRE 2026 APAC outlook summary)</t>
        </is>
      </c>
      <c r="C38" s="96" t="inlineStr">
        <is>
          <t>25 May 2026</t>
        </is>
      </c>
      <c r="D38" s="97" t="inlineStr">
        <is>
          <t>Australia leading APAC tier; ~1.5 GW shortfall; AU DC cap rates above 6% at the top end — yields widening as occupier demand peaks.</t>
        </is>
      </c>
      <c r="E38" s="113" t="inlineStr">
        <is>
          <t>https://certifiedstrategic.com/insights/cbre-2026-asia-pacific-data-centre-outlook-australia-leading-tier-1-5gw-shortfall</t>
        </is>
      </c>
    </row>
    <row r="39">
      <c r="A39" s="105" t="inlineStr">
        <is>
          <t>S-35</t>
        </is>
      </c>
      <c r="B39" s="97" t="inlineStr">
        <is>
          <t>The Good Builder</t>
        </is>
      </c>
      <c r="C39" s="96" t="inlineStr">
        <is>
          <t>6 May 2026</t>
        </is>
      </c>
      <c r="D39" s="97" t="inlineStr">
        <is>
          <t>NSW: 22 SSD facilities / 3.67 GW approved or applied by end-2025; IDA endorsed 15 projects worth A$51.9bn (Mar 2026); Project Meridien 1 GW Broome proposal.</t>
        </is>
      </c>
      <c r="E39" s="113" t="inlineStr">
        <is>
          <t>https://thegoodbuilder.com.au/when-ai-needs-a-building-permit-how-the-data-centre-boom-is-draining-the-trades-that-build-homes/</t>
        </is>
      </c>
    </row>
    <row r="40">
      <c r="A40" s="105" t="inlineStr">
        <is>
          <t>S-36</t>
        </is>
      </c>
      <c r="B40" s="97" t="inlineStr">
        <is>
          <t>The Urban Developer</t>
        </is>
      </c>
      <c r="C40" s="96" t="inlineStr">
        <is>
          <t>29 Jul 2021</t>
        </is>
      </c>
      <c r="D40" s="97" t="inlineStr">
        <is>
          <t>NEXTDC Horsley Park land benchmark: 12.4 ha for A$124m (~A$1,000/sqm).</t>
        </is>
      </c>
      <c r="E40" s="113" t="inlineStr">
        <is>
          <t>https://www.theurbandeveloper.com/articles/nextdc-horsley-park-site-acquisition</t>
        </is>
      </c>
    </row>
    <row r="41">
      <c r="A41" s="105" t="inlineStr">
        <is>
          <t>S-37</t>
        </is>
      </c>
      <c r="B41" s="97" t="inlineStr">
        <is>
          <t>AFR Street Talk</t>
        </is>
      </c>
      <c r="C41" s="96" t="inlineStr">
        <is>
          <t>24 Jan 2019</t>
        </is>
      </c>
      <c r="D41" s="97" t="inlineStr">
        <is>
          <t>Brookfield acquires DCI from Blackstone for A$370m (8.6 MW at the time).</t>
        </is>
      </c>
      <c r="E41" s="113" t="inlineStr">
        <is>
          <t>https://www.afr.com/street-talk/goldman-natixis-syndicate-brookfield-debt-20190124-h1aex6</t>
        </is>
      </c>
    </row>
    <row r="42">
      <c r="A42" s="105" t="inlineStr">
        <is>
          <t>S-38</t>
        </is>
      </c>
      <c r="B42" s="97" t="inlineStr">
        <is>
          <t>Reuters via MarketScreener</t>
        </is>
      </c>
      <c r="C42" s="96" t="inlineStr">
        <is>
          <t>20 Nov 2024</t>
        </is>
      </c>
      <c r="D42" s="97" t="inlineStr">
        <is>
          <t>DigiCo REIT IPO: A$2.0bn raised at A$5.00 — largest AU IPO since 2018; fell 9% day one.</t>
        </is>
      </c>
      <c r="E42" s="113" t="inlineStr">
        <is>
          <t>https://www.marketscreener.com/quote/stock/HMC-CAPITAL-LIMITED-68642705/news/Australia-s-HMC-Capital-launches-new-digital-infrastructure-trust-in-1-79-billion-IPO-48421593/</t>
        </is>
      </c>
    </row>
    <row r="43">
      <c r="A43" s="105" t="inlineStr">
        <is>
          <t>S-39</t>
        </is>
      </c>
      <c r="B43" s="97" t="inlineStr">
        <is>
          <t>DCD</t>
        </is>
      </c>
      <c r="C43" s="96" t="inlineStr">
        <is>
          <t>4 Sep 2026</t>
        </is>
      </c>
      <c r="D43" s="97" t="inlineStr">
        <is>
          <t>NEXTDC S7 planning documents: 612 MW (up from 550 MW announced); A$7bn project; OpenAI MoU (Dec 2025); Phase One H2 2027.</t>
        </is>
      </c>
      <c r="E43" s="113" t="inlineStr">
        <is>
          <t>https://www.datacenterdynamics.com/en/news/australian-stargate-data-center-in-sydney-will-offer-612mw-of-capacity/</t>
        </is>
      </c>
    </row>
    <row r="44">
      <c r="A44" s="105" t="inlineStr">
        <is>
          <t>S-40</t>
        </is>
      </c>
      <c r="B44" s="97" t="inlineStr">
        <is>
          <t>JLL</t>
        </is>
      </c>
      <c r="C44" s="96" t="inlineStr">
        <is>
          <t>10 Mar 2026</t>
        </is>
      </c>
      <c r="D44" s="97" t="inlineStr">
        <is>
          <t>APAC year-end 2025: vacancy 6.5–7.0% for next few years; 4.8 GW new APAC supply by 2027, 78% preleased; grid-connection waits 24 months–8+ years.</t>
        </is>
      </c>
      <c r="E44" s="113" t="inlineStr">
        <is>
          <t>https://www.jll.com/en-hk/insights/market-dynamics/asia-pacific-data-centre</t>
        </is>
      </c>
    </row>
    <row r="45">
      <c r="A45" s="105" t="inlineStr">
        <is>
          <t>S-41</t>
        </is>
      </c>
      <c r="B45" s="97" t="inlineStr">
        <is>
          <t>Quantfolio</t>
        </is>
      </c>
      <c r="C45" s="96" t="inlineStr">
        <is>
          <t>19 Jul 2026</t>
        </is>
      </c>
      <c r="D45" s="97" t="inlineStr">
        <is>
          <t>NEXTDC EV/EBITDA ~57.5x; EV/Revenue ~24.3x; consensus target A$20.03–20.12 (strong buy, ~53% implied upside at then-price); gross margin ~82%.</t>
        </is>
      </c>
      <c r="E45" s="113" t="inlineStr">
        <is>
          <t>https://quantfolio.com.au/stock-analysis/nextdc-ltd-nxt-asx/</t>
        </is>
      </c>
    </row>
    <row r="46">
      <c r="A46" s="105" t="inlineStr">
        <is>
          <t>S-42</t>
        </is>
      </c>
      <c r="B46" s="97" t="inlineStr">
        <is>
          <t>G. de Valence (Substack)</t>
        </is>
      </c>
      <c r="C46" s="96" t="inlineStr">
        <is>
          <t>27 Dec 2025</t>
        </is>
      </c>
      <c r="D46" s="97" t="inlineStr">
        <is>
          <t>US$6.7bn (~A$10bn) invested in AU DCs in 2024 (Knight Frank, 2nd only to US); CBRE forecast ~A$46bn investment by 2029.</t>
        </is>
      </c>
      <c r="E46" s="113" t="inlineStr">
        <is>
          <t>https://gerarddevalence.substack.com/p/construction-productivity-the-ai</t>
        </is>
      </c>
    </row>
    <row r="47">
      <c r="A47" s="105" t="inlineStr">
        <is>
          <t>S-43</t>
        </is>
      </c>
      <c r="B47" s="97" t="inlineStr">
        <is>
          <t>API Magazine</t>
        </is>
      </c>
      <c r="C47" s="96" t="inlineStr">
        <is>
          <t>8 Sep 2026</t>
        </is>
      </c>
      <c r="D47" s="97" t="inlineStr">
        <is>
          <t>Oxford Economics: DC investment to reach A$60bn by 2030 from A$20bn in 2026.</t>
        </is>
      </c>
      <c r="E47" s="113" t="inlineStr">
        <is>
          <t>https://www.apimagazine.com.au/news/article/australias-data-centre-boom-is-reshaping-property-markets</t>
        </is>
      </c>
    </row>
    <row r="48">
      <c r="A48" s="105" t="inlineStr">
        <is>
          <t>S-44</t>
        </is>
      </c>
      <c r="B48" s="97" t="inlineStr">
        <is>
          <t>Dossier synthesis (inashanu research dossier §10.1)</t>
        </is>
      </c>
      <c r="C48" s="96" t="inlineStr">
        <is>
          <t>17 Sep 2026</t>
        </is>
      </c>
      <c r="D48" s="97" t="inlineStr">
        <is>
          <t>Realistic planning band: 5–8 GW operational by 2030–31. Used in this model for the bear target at the low end of that band. The high end is not used as the bull target: the band is a synthesis across houses that count capacity differently, and reading its top as a single operating-IT-load figure would take on the widest of those definitions without saying so.</t>
        </is>
      </c>
      <c r="E48" s="113" t="inlineStr">
        <is>
          <t>research/au-data-centre-dossier.md</t>
        </is>
      </c>
    </row>
    <row r="49">
      <c r="A49" s="105" t="inlineStr">
        <is>
          <t>S-45</t>
        </is>
      </c>
      <c r="B49" s="97" t="inlineStr">
        <is>
          <t>Allens</t>
        </is>
      </c>
      <c r="C49" s="96" t="inlineStr">
        <is>
          <t>2025</t>
        </is>
      </c>
      <c r="D49" s="97" t="inlineStr">
        <is>
          <t>Key deals: Keppel proposed 720 MW campus on 123 ha near former Hazelwood power station (Latrobe Valley).</t>
        </is>
      </c>
      <c r="E49" s="113" t="inlineStr">
        <is>
          <t>https://www.allens.com.au/insights-news/explore/2025/navigating-the-six-key-issues-affecting-data-centre-investment-and-operation/key-deals/</t>
        </is>
      </c>
    </row>
    <row r="50">
      <c r="A50" s="105" t="inlineStr">
        <is>
          <t>S-46</t>
        </is>
      </c>
      <c r="B50" s="97" t="inlineStr">
        <is>
          <t>Troview Intelligence</t>
        </is>
      </c>
      <c r="C50" s="96" t="inlineStr">
        <is>
          <t>29 Jun 2026</t>
        </is>
      </c>
      <c r="D50" s="97" t="inlineStr">
        <is>
          <t>Sydney project detail: GreenSquareDC SYD1 Norwest A$1.2bn / 110 MW; Stack Horsley Park A$3.7bn / 450 MW application; DigiCo SYD1 26→88 MW upgrade; AirTrunk ~A$4.3bn Kemps Creek facility.</t>
        </is>
      </c>
      <c r="E50" s="113" t="inlineStr">
        <is>
          <t>https://www.troviewintelligence.com/reports/sydney-cooling-and-energy-infrastructure-real-estate-market</t>
        </is>
      </c>
    </row>
    <row r="51">
      <c r="A51" s="105" t="inlineStr">
        <is>
          <t>S-47</t>
        </is>
      </c>
      <c r="B51" s="97" t="inlineStr">
        <is>
          <t>Reuters; ABC News; The Guardian</t>
        </is>
      </c>
      <c r="C51" s="96" t="inlineStr">
        <is>
          <t>16 Sep 2026</t>
        </is>
      </c>
      <c r="D51" s="97" t="inlineStr">
        <is>
          <t>Anthropic signs its first Australian data centre agreement: a long-term lease in a proposed ~A$30–32bn hub near Dalby, Western Downs (Qld), announced by the Queensland Premier; online from 2027; MW not disclosed. Dossier Addendum A1, added 18 Sep 2026.</t>
        </is>
      </c>
      <c r="E51" s="113" t="inlineStr">
        <is>
          <t>research/au-data-centre-dossier.md#addendum-a1</t>
        </is>
      </c>
    </row>
    <row r="52">
      <c r="A52" s="105" t="inlineStr">
        <is>
          <t>S-48</t>
        </is>
      </c>
      <c r="B52" s="97" t="inlineStr">
        <is>
          <t>NEXTDC FY26 Annual Report and Appendix 4E</t>
        </is>
      </c>
      <c r="C52" s="96" t="inlineStr">
        <is>
          <t>27 Aug 2026</t>
        </is>
      </c>
      <c r="D52" s="97" t="inlineStr">
        <is>
          <t>Note 15(a): 759,554,497 fully paid ordinary shares at 30 Jun 2026. Note 14: net debt A$2,466,741k; total equity A$6,094,944k; gearing 28.8%.</t>
        </is>
      </c>
      <c r="E52" s="113" t="inlineStr">
        <is>
          <t>nextdc.com/hubfs/Financial Reports/FY26/FY26 Results Announcement.pdf</t>
        </is>
      </c>
    </row>
    <row r="53">
      <c r="A53" s="93" t="inlineStr">
        <is>
          <t>Change record</t>
        </is>
      </c>
      <c r="B53" s="93" t="n"/>
      <c r="C53" s="93" t="n"/>
      <c r="D53" s="93" t="n"/>
      <c r="E53" s="93" t="n"/>
    </row>
    <row r="54">
      <c r="A54" s="105" t="inlineStr">
        <is>
          <t>S-05</t>
        </is>
      </c>
      <c r="C54" s="96" t="inlineStr">
        <is>
          <t>21 Sep 2026</t>
        </is>
      </c>
      <c r="D54" s="97" t="inlineStr">
        <is>
          <t>Withdrawn as the source for the 2030 bull capacity target (Assumptions #4). Its 7,180 MW is measured on Mordor's own capacity basis, whose 2025 value is 3,530 MW, so a compound rate from this model's 1,350 MW operating base to Mordor's 2030 figure ran across two definitions. The Mordor series is retained in full, on its own basis, at Market_Sizing section E, together with the ratio between the two bases and a memo restating Mordor's 2030 figure on the operating basis. The entry above now carries the published sentence whole, including the clause that names the basis.</t>
        </is>
      </c>
    </row>
    <row r="55">
      <c r="A55" s="105" t="inlineStr">
        <is>
          <t>S-09; S-11; S-15; S-16; S-39; S-45; S-46</t>
        </is>
      </c>
      <c r="C55" s="96" t="inlineStr">
        <is>
          <t>21 Sep 2026</t>
        </is>
      </c>
      <c r="D55" s="97" t="inlineStr">
        <is>
          <t>Now jointly carry the 2030 bull capacity target, which is built from the 2025 operating base and the project pipeline rather than taken from a published forecast. The bull completion and conversion rates are inashanu assumptions at Assumptions #38 and #39 and are tinted as such.</t>
        </is>
      </c>
    </row>
    <row r="56">
      <c r="A56" s="105" t="inlineStr">
        <is>
          <t>S-10</t>
        </is>
      </c>
      <c r="C56" s="96" t="inlineStr">
        <is>
          <t>21 Sep 2026</t>
        </is>
      </c>
      <c r="D56" s="97" t="inlineStr">
        <is>
          <t>Still evidences the 2005–2025 occupancy series and the finding that two-thirds of the expansion came after 2020. The proportion is now applied to the operating IT load series rather than to M3's own occupancy figure, so that the 2022–24 interpolation has both ends on one basis. M3's occupancy series itself is unchanged.</t>
        </is>
      </c>
    </row>
    <row r="57">
      <c r="A57" s="105" t="inlineStr">
        <is>
          <t>S-11; S-15; S-16; S-20; S-29; S-32; S-35; S-39; S-45; S-46</t>
        </is>
      </c>
      <c r="C57" s="96" t="inlineStr">
        <is>
          <t>21 Sep 2026</t>
        </is>
      </c>
      <c r="D57" s="97" t="inlineStr">
        <is>
          <t>Jointly anchor the conversion at Assumptions #41, which is the declared step from announced project capacity onto the operating IT load basis. Each of these sources states the megawatts for one or more projects in the pipeline table on its own IT-capacity basis. The factor is 1.00 and its stated limit is that two rows carry figures their sources word as 'up to'.</t>
        </is>
      </c>
    </row>
    <row r="58">
      <c r="A58" s="105" t="inlineStr">
        <is>
          <t>S-22; S-41</t>
        </is>
      </c>
      <c r="C58" s="96" t="inlineStr">
        <is>
          <t>21 Sep 2026</t>
        </is>
      </c>
      <c r="D58" s="97" t="inlineStr">
        <is>
          <t>Now carry the gross margin at Assumptions #40, which was a constant inside the Unit_Economics bridge formula until this date. No figure moved.</t>
        </is>
      </c>
    </row>
    <row r="59">
      <c r="A59" s="105" t="inlineStr">
        <is>
          <t>S-01; S-02; S-04</t>
        </is>
      </c>
      <c r="C59" s="96" t="inlineStr">
        <is>
          <t>21 Sep 2026</t>
        </is>
      </c>
      <c r="D59" s="97" t="inlineStr">
        <is>
          <t>Remain the anchors for core services revenue growth (Assumptions #37). The high case is unchanged at 16% and no revenue figure moves; the stated anchor no longer cites a capacity growth rate for a rate applied to a revenue series.</t>
        </is>
      </c>
    </row>
    <row r="60">
      <c r="A60" s="105" t="inlineStr">
        <is>
          <t>S-21</t>
        </is>
      </c>
      <c r="C60" s="96" t="inlineStr">
        <is>
          <t>22 Sep 2026</t>
        </is>
      </c>
      <c r="D60" s="97" t="inlineStr">
        <is>
          <t>Restated. The close of A$11.34 and the 52-week range of A$10.91–18.22 carried against a 16 Sep 2026 as-of date are Yahoo Finance AU figures at its 28 Aug 2026 close. The 16 Sep 2026 close is A$11.39 and the range on that close is A$10.91–17.84. A rolling range moves without this workbook moving, so the entry now names a live page and carries a retrieval date labelled as one. Valuation_Comps #B17, #B18/C18, #B23 and the derived #B24 follow it; the market-cap range of A$8,600–9,700m it carried is withdrawn with it.</t>
        </is>
      </c>
    </row>
  </sheetData>
  <hyperlinks>
    <hyperlink xmlns:r="http://schemas.openxmlformats.org/officeDocument/2006/relationships" ref="E5" r:id="rId1"/>
    <hyperlink xmlns:r="http://schemas.openxmlformats.org/officeDocument/2006/relationships" ref="E6" r:id="rId2"/>
    <hyperlink xmlns:r="http://schemas.openxmlformats.org/officeDocument/2006/relationships" ref="E7" r:id="rId3"/>
    <hyperlink xmlns:r="http://schemas.openxmlformats.org/officeDocument/2006/relationships" ref="E8" r:id="rId4"/>
    <hyperlink xmlns:r="http://schemas.openxmlformats.org/officeDocument/2006/relationships" ref="E9" r:id="rId5"/>
    <hyperlink xmlns:r="http://schemas.openxmlformats.org/officeDocument/2006/relationships" ref="E10" r:id="rId6"/>
    <hyperlink xmlns:r="http://schemas.openxmlformats.org/officeDocument/2006/relationships" ref="E11" r:id="rId7"/>
    <hyperlink xmlns:r="http://schemas.openxmlformats.org/officeDocument/2006/relationships" ref="E12" r:id="rId8"/>
    <hyperlink xmlns:r="http://schemas.openxmlformats.org/officeDocument/2006/relationships" ref="E13" r:id="rId9"/>
    <hyperlink xmlns:r="http://schemas.openxmlformats.org/officeDocument/2006/relationships" ref="E14" r:id="rId10"/>
    <hyperlink xmlns:r="http://schemas.openxmlformats.org/officeDocument/2006/relationships" ref="E15" r:id="rId11"/>
    <hyperlink xmlns:r="http://schemas.openxmlformats.org/officeDocument/2006/relationships" ref="E16" r:id="rId12"/>
    <hyperlink xmlns:r="http://schemas.openxmlformats.org/officeDocument/2006/relationships" ref="E17" r:id="rId13"/>
    <hyperlink xmlns:r="http://schemas.openxmlformats.org/officeDocument/2006/relationships" ref="E18" r:id="rId14"/>
    <hyperlink xmlns:r="http://schemas.openxmlformats.org/officeDocument/2006/relationships" ref="E19" r:id="rId15"/>
    <hyperlink xmlns:r="http://schemas.openxmlformats.org/officeDocument/2006/relationships" ref="E20" r:id="rId16"/>
    <hyperlink xmlns:r="http://schemas.openxmlformats.org/officeDocument/2006/relationships" ref="E21" r:id="rId17"/>
    <hyperlink xmlns:r="http://schemas.openxmlformats.org/officeDocument/2006/relationships" ref="E22" r:id="rId18"/>
    <hyperlink xmlns:r="http://schemas.openxmlformats.org/officeDocument/2006/relationships" ref="E23" r:id="rId19"/>
    <hyperlink xmlns:r="http://schemas.openxmlformats.org/officeDocument/2006/relationships" ref="E24" r:id="rId20"/>
    <hyperlink xmlns:r="http://schemas.openxmlformats.org/officeDocument/2006/relationships" ref="E25" r:id="rId21"/>
    <hyperlink xmlns:r="http://schemas.openxmlformats.org/officeDocument/2006/relationships" ref="E26" r:id="rId22"/>
    <hyperlink xmlns:r="http://schemas.openxmlformats.org/officeDocument/2006/relationships" ref="E27" r:id="rId23"/>
    <hyperlink xmlns:r="http://schemas.openxmlformats.org/officeDocument/2006/relationships" ref="E28" r:id="rId24"/>
    <hyperlink xmlns:r="http://schemas.openxmlformats.org/officeDocument/2006/relationships" ref="E29" r:id="rId25"/>
    <hyperlink xmlns:r="http://schemas.openxmlformats.org/officeDocument/2006/relationships" ref="E30" r:id="rId26"/>
    <hyperlink xmlns:r="http://schemas.openxmlformats.org/officeDocument/2006/relationships" ref="E31" r:id="rId27"/>
    <hyperlink xmlns:r="http://schemas.openxmlformats.org/officeDocument/2006/relationships" ref="E32" r:id="rId28"/>
    <hyperlink xmlns:r="http://schemas.openxmlformats.org/officeDocument/2006/relationships" ref="E33" r:id="rId29"/>
    <hyperlink xmlns:r="http://schemas.openxmlformats.org/officeDocument/2006/relationships" ref="E34" r:id="rId30"/>
    <hyperlink xmlns:r="http://schemas.openxmlformats.org/officeDocument/2006/relationships" ref="E35" r:id="rId31"/>
    <hyperlink xmlns:r="http://schemas.openxmlformats.org/officeDocument/2006/relationships" ref="E36" r:id="rId32"/>
    <hyperlink xmlns:r="http://schemas.openxmlformats.org/officeDocument/2006/relationships" ref="E37" r:id="rId33"/>
    <hyperlink xmlns:r="http://schemas.openxmlformats.org/officeDocument/2006/relationships" ref="E38" r:id="rId34"/>
    <hyperlink xmlns:r="http://schemas.openxmlformats.org/officeDocument/2006/relationships" ref="E39" r:id="rId35"/>
    <hyperlink xmlns:r="http://schemas.openxmlformats.org/officeDocument/2006/relationships" ref="E40" r:id="rId36"/>
    <hyperlink xmlns:r="http://schemas.openxmlformats.org/officeDocument/2006/relationships" ref="E41" r:id="rId37"/>
    <hyperlink xmlns:r="http://schemas.openxmlformats.org/officeDocument/2006/relationships" ref="E42" r:id="rId38"/>
    <hyperlink xmlns:r="http://schemas.openxmlformats.org/officeDocument/2006/relationships" ref="E43" r:id="rId39"/>
    <hyperlink xmlns:r="http://schemas.openxmlformats.org/officeDocument/2006/relationships" ref="E44" r:id="rId40"/>
    <hyperlink xmlns:r="http://schemas.openxmlformats.org/officeDocument/2006/relationships" ref="E45" r:id="rId41"/>
    <hyperlink xmlns:r="http://schemas.openxmlformats.org/officeDocument/2006/relationships" ref="E46" r:id="rId42"/>
    <hyperlink xmlns:r="http://schemas.openxmlformats.org/officeDocument/2006/relationships" ref="E47" r:id="rId43"/>
    <hyperlink xmlns:r="http://schemas.openxmlformats.org/officeDocument/2006/relationships" ref="E49" r:id="rId44"/>
    <hyperlink xmlns:r="http://schemas.openxmlformats.org/officeDocument/2006/relationships" ref="E50" r:id="rId45"/>
    <hyperlink xmlns:r="http://schemas.openxmlformats.org/officeDocument/2006/relationships" ref="E51" r:id="rId46"/>
  </hyperlinks>
  <printOptions horizontalCentered="0"/>
  <pageMargins left="0.4" right="0.4" top="0.5" bottom="0.5" header="0.5" footer="0.5"/>
  <pageSetup orientation="landscape" fitToHeight="0" fitToWidth="1"/>
</worksheet>
</file>

<file path=xl/worksheets/sheet4.xml><?xml version="1.0" encoding="utf-8"?>
<worksheet xmlns="http://schemas.openxmlformats.org/spreadsheetml/2006/main">
  <sheetPr>
    <tabColor rgb="00C2410C"/>
    <outlinePr summaryBelow="1" summaryRight="1"/>
    <pageSetUpPr fitToPage="1"/>
  </sheetPr>
  <dimension ref="A1:K53"/>
  <sheetViews>
    <sheetView showGridLines="0" workbookViewId="0">
      <pane xSplit="3" ySplit="6" topLeftCell="D7" activePane="bottomRight" state="frozen"/>
      <selection pane="topRight" activeCell="A1" sqref="A1"/>
      <selection pane="bottomLeft" activeCell="A1" sqref="A1"/>
      <selection pane="bottomRight" activeCell="A1" sqref="A1"/>
    </sheetView>
  </sheetViews>
  <sheetFormatPr baseColWidth="8" defaultRowHeight="15"/>
  <cols>
    <col width="5" customWidth="1" min="1" max="1"/>
    <col width="44" customWidth="1" min="2" max="2"/>
    <col width="11" customWidth="1" min="3" max="3"/>
    <col width="12" customWidth="1" min="4" max="4"/>
    <col width="12" customWidth="1" min="5" max="5"/>
    <col width="12" customWidth="1" min="6" max="6"/>
    <col width="12" customWidth="1" min="7" max="7"/>
    <col width="20" customWidth="1" min="8" max="8"/>
    <col width="16" customWidth="1" min="9" max="9"/>
    <col width="72" customWidth="1" min="10" max="10"/>
    <col width="46" customWidth="1" min="11" max="11"/>
  </cols>
  <sheetData>
    <row r="1">
      <c r="A1" s="91" t="inlineStr">
        <is>
          <t>Assumptions &amp; Drivers</t>
        </is>
      </c>
      <c r="B1" s="91" t="n"/>
      <c r="C1" s="91" t="n"/>
      <c r="D1" s="91" t="n"/>
      <c r="E1" s="91" t="n"/>
      <c r="F1" s="91" t="n"/>
      <c r="G1" s="91" t="n"/>
      <c r="H1" s="91" t="n"/>
      <c r="I1" s="91" t="n"/>
      <c r="J1" s="91" t="n"/>
      <c r="K1" s="91" t="n"/>
    </row>
    <row r="2">
      <c r="A2" s="92" t="inlineStr">
        <is>
          <t>Low / base / high for every driver. The Selected column feeds the model. Ochre is an inashanu judgement; blue is a figure from a cited source.</t>
        </is>
      </c>
      <c r="B2" s="92" t="n"/>
      <c r="C2" s="92" t="n"/>
      <c r="D2" s="92" t="n"/>
      <c r="E2" s="92" t="n"/>
      <c r="F2" s="92" t="n"/>
      <c r="G2" s="92" t="n"/>
      <c r="H2" s="92" t="n"/>
      <c r="I2" s="92" t="n"/>
      <c r="J2" s="92" t="n"/>
      <c r="K2" s="92" t="n"/>
    </row>
    <row r="3"/>
    <row r="4">
      <c r="B4" s="96" t="inlineStr">
        <is>
          <t>Scenario selector →  1 = Bear, 2 = Base, 3 = Bull</t>
        </is>
      </c>
      <c r="C4" s="114" t="n">
        <v>2</v>
      </c>
      <c r="D4" s="100" t="str">
        <f>CHOOSE($C$4,"Bear scenario active","Base scenario active","Bull scenario active")</f>
        <v>Base scenario active</v>
      </c>
    </row>
    <row r="5"/>
    <row r="6">
      <c r="A6" s="95" t="inlineStr">
        <is>
          <t>#</t>
        </is>
      </c>
      <c r="B6" s="95" t="inlineStr">
        <is>
          <t>Driver</t>
        </is>
      </c>
      <c r="C6" s="95" t="inlineStr">
        <is>
          <t>Unit</t>
        </is>
      </c>
      <c r="D6" s="95" t="inlineStr">
        <is>
          <t>Low</t>
        </is>
      </c>
      <c r="E6" s="95" t="inlineStr">
        <is>
          <t>Base</t>
        </is>
      </c>
      <c r="F6" s="95" t="inlineStr">
        <is>
          <t>High</t>
        </is>
      </c>
      <c r="G6" s="95" t="inlineStr">
        <is>
          <t>Selected</t>
        </is>
      </c>
      <c r="H6" s="95" t="inlineStr">
        <is>
          <t>Type</t>
        </is>
      </c>
      <c r="I6" s="95" t="inlineStr">
        <is>
          <t>Source #</t>
        </is>
      </c>
      <c r="J6" s="95" t="inlineStr">
        <is>
          <t>Source (publisher, date)</t>
        </is>
      </c>
      <c r="K6" s="95" t="inlineStr">
        <is>
          <t>Basis (what is counted, and on whose definition)</t>
        </is>
      </c>
    </row>
    <row r="7">
      <c r="A7" s="106" t="n">
        <v>1</v>
      </c>
      <c r="B7" s="97" t="inlineStr">
        <is>
          <t>Operating IT capacity, end-2025</t>
        </is>
      </c>
      <c r="C7" s="108" t="inlineStr">
        <is>
          <t>MW</t>
        </is>
      </c>
      <c r="D7" s="115" t="n">
        <v>1300</v>
      </c>
      <c r="E7" s="115" t="n">
        <v>1350</v>
      </c>
      <c r="F7" s="115" t="n">
        <v>1500</v>
      </c>
      <c r="G7" s="116">
        <f>CHOOSE($C$4,D7,E7,F7)</f>
        <v>1350</v>
      </c>
      <c r="H7" s="96" t="inlineStr">
        <is>
          <t>Source</t>
        </is>
      </c>
      <c r="I7" s="97" t="inlineStr">
        <is>
          <t>S-08; S-09</t>
        </is>
      </c>
      <c r="J7" s="97" t="inlineStr">
        <is>
          <t>CBRE 1.3–1.5 GW live (2026); ITK ~1.35 GW (11 May 2026)</t>
        </is>
      </c>
      <c r="K7" s="110" t="inlineStr">
        <is>
          <t>MW - operating IT load (national)</t>
        </is>
      </c>
    </row>
    <row r="8">
      <c r="A8" s="106" t="n">
        <v>2</v>
      </c>
      <c r="B8" s="97" t="inlineStr">
        <is>
          <t>2030 operating capacity target — Bear</t>
        </is>
      </c>
      <c r="C8" s="108" t="inlineStr">
        <is>
          <t>MW</t>
        </is>
      </c>
      <c r="D8" s="104" t="inlineStr"/>
      <c r="E8" s="115" t="n">
        <v>5000</v>
      </c>
      <c r="F8" s="104" t="inlineStr"/>
      <c r="G8" s="117">
        <f>E8</f>
        <v>5000</v>
      </c>
      <c r="H8" s="96" t="inlineStr">
        <is>
          <t>Source</t>
        </is>
      </c>
      <c r="I8" s="97" t="inlineStr">
        <is>
          <t>S-44; S-09</t>
        </is>
      </c>
      <c r="J8" s="97" t="inlineStr">
        <is>
          <t>Dossier synthesis band 5–8 GW (low end); CEFC/Baringa low 4.7 GW by 2035</t>
        </is>
      </c>
      <c r="K8" s="110" t="inlineStr">
        <is>
          <t>MW - operating IT load (national)</t>
        </is>
      </c>
    </row>
    <row r="9">
      <c r="A9" s="106" t="n">
        <v>3</v>
      </c>
      <c r="B9" s="97" t="inlineStr">
        <is>
          <t>2030 operating capacity target — Base</t>
        </is>
      </c>
      <c r="C9" s="108" t="inlineStr">
        <is>
          <t>MW</t>
        </is>
      </c>
      <c r="D9" s="104" t="inlineStr"/>
      <c r="E9" s="115" t="n">
        <v>6000</v>
      </c>
      <c r="F9" s="104" t="inlineStr"/>
      <c r="G9" s="117">
        <f>E9</f>
        <v>6000</v>
      </c>
      <c r="H9" s="96" t="inlineStr">
        <is>
          <t>Source</t>
        </is>
      </c>
      <c r="I9" s="97" t="inlineStr">
        <is>
          <t>S-33; S-44</t>
        </is>
      </c>
      <c r="J9" s="97" t="inlineStr">
        <is>
          <t>AEMO Step Change implies ~6 GW by 2030; dossier synthesis mid-band</t>
        </is>
      </c>
      <c r="K9" s="110" t="inlineStr">
        <is>
          <t>MW - operating IT load (national)</t>
        </is>
      </c>
    </row>
    <row r="10">
      <c r="A10" s="106" t="n">
        <v>4</v>
      </c>
      <c r="B10" s="97" t="inlineStr">
        <is>
          <t>2030 operating capacity target — Bull</t>
        </is>
      </c>
      <c r="C10" s="108" t="inlineStr">
        <is>
          <t>MW</t>
        </is>
      </c>
      <c r="D10" s="104" t="inlineStr"/>
      <c r="E10" s="118">
        <f>ROUND(E7+(Metro_Capacity!$B$44*E44+(Metro_Capacity!$B$45+Metro_Capacity!$B$48)*E45)*E47,-1)</f>
        <v>6220</v>
      </c>
      <c r="F10" s="104" t="inlineStr"/>
      <c r="G10" s="117">
        <f>E10</f>
        <v>6220</v>
      </c>
      <c r="H10" s="96" t="inlineStr">
        <is>
          <t>Formula (bottom-up build)</t>
        </is>
      </c>
      <c r="I10" s="97" t="inlineStr">
        <is>
          <t>S-09; S-11; S-15; S-16; S-39; S-45; S-46</t>
        </is>
      </c>
      <c r="J10" s="97" t="inlineStr">
        <is>
          <t>Built from the project pipeline, not borrowed from a forecast on another basis: 2025 operating base, plus the under-construction pool at the bull completion rate (#38), plus the planned pool and the excluded Firmus Southgate balance at the bull conversion rate (#39), the pipeline terms carried onto the operating basis through the declared conversion at #41. Rounded to the nearest 10 MW, which is the precision the pipeline figures carry.</t>
        </is>
      </c>
      <c r="K10" s="110" t="inlineStr">
        <is>
          <t>MW - operating IT load (national)</t>
        </is>
      </c>
    </row>
    <row r="11">
      <c r="A11" s="106" t="n">
        <v>5</v>
      </c>
      <c r="B11" s="97" t="inlineStr">
        <is>
          <t>National occupancy (demand take-up), 2025</t>
        </is>
      </c>
      <c r="C11" s="108" t="inlineStr">
        <is>
          <t>MW</t>
        </is>
      </c>
      <c r="D11" s="104" t="inlineStr"/>
      <c r="E11" s="115" t="n">
        <v>1315</v>
      </c>
      <c r="F11" s="104" t="inlineStr"/>
      <c r="G11" s="117">
        <f>E11</f>
        <v>1315</v>
      </c>
      <c r="H11" s="96" t="inlineStr">
        <is>
          <t>Source</t>
        </is>
      </c>
      <c r="I11" s="97" t="inlineStr">
        <is>
          <t>S-10</t>
        </is>
      </c>
      <c r="J11" s="97" t="inlineStr">
        <is>
          <t>M3 Property, 18 Nov 2025</t>
        </is>
      </c>
      <c r="K11" s="110" t="inlineStr">
        <is>
          <t>MW - occupied IT load (M3 basis)</t>
        </is>
      </c>
    </row>
    <row r="12">
      <c r="A12" s="106" t="n">
        <v>6</v>
      </c>
      <c r="B12" s="97" t="inlineStr">
        <is>
          <t>National occupancy, 2005</t>
        </is>
      </c>
      <c r="C12" s="108" t="inlineStr">
        <is>
          <t>MW</t>
        </is>
      </c>
      <c r="D12" s="104" t="inlineStr"/>
      <c r="E12" s="115" t="n">
        <v>37</v>
      </c>
      <c r="F12" s="104" t="inlineStr"/>
      <c r="G12" s="117">
        <f>E12</f>
        <v>37</v>
      </c>
      <c r="H12" s="96" t="inlineStr">
        <is>
          <t>Source</t>
        </is>
      </c>
      <c r="I12" s="97" t="inlineStr">
        <is>
          <t>S-10</t>
        </is>
      </c>
      <c r="J12" s="97" t="inlineStr">
        <is>
          <t>M3 Property, 18 Nov 2025 — 40-fold expansion in 20 years</t>
        </is>
      </c>
      <c r="K12" s="110" t="inlineStr">
        <is>
          <t>MW - occupied IT load (M3 basis)</t>
        </is>
      </c>
    </row>
    <row r="13">
      <c r="A13" s="106" t="n">
        <v>7</v>
      </c>
      <c r="B13" s="97" t="inlineStr">
        <is>
          <t>Mordor capacity basis, 2025</t>
        </is>
      </c>
      <c r="C13" s="108" t="inlineStr">
        <is>
          <t>MW</t>
        </is>
      </c>
      <c r="D13" s="104" t="inlineStr"/>
      <c r="E13" s="115" t="n">
        <v>3530</v>
      </c>
      <c r="F13" s="104" t="inlineStr"/>
      <c r="G13" s="117">
        <f>E13</f>
        <v>3530</v>
      </c>
      <c r="H13" s="96" t="inlineStr">
        <is>
          <t>Source</t>
        </is>
      </c>
      <c r="I13" s="97" t="inlineStr">
        <is>
          <t>S-05</t>
        </is>
      </c>
      <c r="J13" s="97" t="inlineStr">
        <is>
          <t>Mordor Intelligence, Jan 2026 — basis in the publisher's own sentence: "The IT load capacity or installed capacity, refers to the amount of energy consumed by servers and network equipments placed in a rack installed." A rack installed may not yet be drawing load, so this counts more megawatts than the operating IT load series.</t>
        </is>
      </c>
      <c r="K13" s="110" t="inlineStr">
        <is>
          <t>MW - Mordor capacity basis</t>
        </is>
      </c>
    </row>
    <row r="14">
      <c r="A14" s="106" t="n">
        <v>8</v>
      </c>
      <c r="B14" s="97" t="inlineStr">
        <is>
          <t>Mordor capacity CAGR 2025–2030</t>
        </is>
      </c>
      <c r="C14" s="108" t="inlineStr">
        <is>
          <t>%</t>
        </is>
      </c>
      <c r="D14" s="104" t="inlineStr"/>
      <c r="E14" s="119" t="n">
        <v>0.1525</v>
      </c>
      <c r="F14" s="104" t="inlineStr"/>
      <c r="G14" s="120">
        <f>E14</f>
        <v>0.1525</v>
      </c>
      <c r="H14" s="96" t="inlineStr">
        <is>
          <t>Source</t>
        </is>
      </c>
      <c r="I14" s="97" t="inlineStr">
        <is>
          <t>S-05</t>
        </is>
      </c>
      <c r="J14" s="97" t="inlineStr">
        <is>
          <t>Mordor Intelligence, Jan 2026</t>
        </is>
      </c>
      <c r="K14" s="110" t="inlineStr">
        <is>
          <t>growth rate - MW - Mordor capacity basis</t>
        </is>
      </c>
    </row>
    <row r="15">
      <c r="A15" s="106" t="n">
        <v>9</v>
      </c>
      <c r="B15" s="97" t="inlineStr">
        <is>
          <t>Share of pipeline 'fully deliverable' near-term</t>
        </is>
      </c>
      <c r="C15" s="108" t="inlineStr">
        <is>
          <t>%</t>
        </is>
      </c>
      <c r="D15" s="104" t="inlineStr"/>
      <c r="E15" s="119" t="n">
        <v>0.25</v>
      </c>
      <c r="F15" s="104" t="inlineStr"/>
      <c r="G15" s="120">
        <f>E15</f>
        <v>0.25</v>
      </c>
      <c r="H15" s="96" t="inlineStr">
        <is>
          <t>Source</t>
        </is>
      </c>
      <c r="I15" s="97" t="inlineStr">
        <is>
          <t>S-11</t>
        </is>
      </c>
      <c r="J15" s="97" t="inlineStr">
        <is>
          <t>M3 Property, Nov 2025 — power, water, cost, lead-time, regulatory barriers</t>
        </is>
      </c>
      <c r="K15" s="110" t="inlineStr">
        <is>
          <t>share of announced project capacity</t>
        </is>
      </c>
    </row>
    <row r="16">
      <c r="A16" s="106" t="n">
        <v>10</v>
      </c>
      <c r="B16" s="97" t="inlineStr">
        <is>
          <t>Under-construction pre-commitment (Dec 2024)</t>
        </is>
      </c>
      <c r="C16" s="108" t="inlineStr">
        <is>
          <t>%</t>
        </is>
      </c>
      <c r="D16" s="104" t="inlineStr"/>
      <c r="E16" s="119" t="n">
        <v>0.68</v>
      </c>
      <c r="F16" s="104" t="inlineStr"/>
      <c r="G16" s="120">
        <f>E16</f>
        <v>0.68</v>
      </c>
      <c r="H16" s="96" t="inlineStr">
        <is>
          <t>Source</t>
        </is>
      </c>
      <c r="I16" s="97" t="inlineStr">
        <is>
          <t>S-11</t>
        </is>
      </c>
      <c r="J16" s="97" t="inlineStr">
        <is>
          <t>M3 Property, Nov 2025 — vs 38% long-run average</t>
        </is>
      </c>
      <c r="K16" s="110" t="inlineStr">
        <is>
          <t>share of announced project capacity</t>
        </is>
      </c>
    </row>
    <row r="17">
      <c r="A17" s="106" t="n">
        <v>11</v>
      </c>
      <c r="B17" s="97" t="inlineStr">
        <is>
          <t>UC delivery factor (share of UC MW operating by 2030)</t>
        </is>
      </c>
      <c r="C17" s="108" t="inlineStr">
        <is>
          <t>%</t>
        </is>
      </c>
      <c r="D17" s="121" t="n">
        <v>0.5</v>
      </c>
      <c r="E17" s="121" t="n">
        <v>0.68</v>
      </c>
      <c r="F17" s="121" t="n">
        <v>0.85</v>
      </c>
      <c r="G17" s="122">
        <f>CHOOSE($C$4,D17,E17,F17)</f>
        <v>0.68</v>
      </c>
      <c r="H17" s="96" t="inlineStr">
        <is>
          <t>Assumption</t>
        </is>
      </c>
      <c r="I17" s="97" t="inlineStr">
        <is>
          <t>S-11 (anchor)</t>
        </is>
      </c>
      <c r="J17" s="97" t="inlineStr">
        <is>
          <t>inashanu estimate — base anchored on 68% UC pre-commitment; low/high bracket execution risk</t>
        </is>
      </c>
      <c r="K17" s="110" t="inlineStr">
        <is>
          <t>share of announced project capacity</t>
        </is>
      </c>
    </row>
    <row r="18">
      <c r="A18" s="106" t="n">
        <v>12</v>
      </c>
      <c r="B18" s="97" t="inlineStr">
        <is>
          <t>IBISWorld J5921 revenue, 2024</t>
        </is>
      </c>
      <c r="C18" s="108" t="inlineStr">
        <is>
          <t>A$bn</t>
        </is>
      </c>
      <c r="D18" s="104" t="inlineStr"/>
      <c r="E18" s="123" t="n">
        <v>3.2</v>
      </c>
      <c r="F18" s="104" t="inlineStr"/>
      <c r="G18" s="124">
        <f>E18</f>
        <v>3.2</v>
      </c>
      <c r="H18" s="96" t="inlineStr">
        <is>
          <t>Source</t>
        </is>
      </c>
      <c r="I18" s="97" t="inlineStr">
        <is>
          <t>S-01</t>
        </is>
      </c>
      <c r="J18" s="97" t="inlineStr">
        <is>
          <t>IBISWorld Cloud Hosting &amp; Data Processing, Oct 2025</t>
        </is>
      </c>
      <c r="K18" s="110" t="inlineStr">
        <is>
          <t>A$bn - ANZSIC J5921 revenue</t>
        </is>
      </c>
    </row>
    <row r="19">
      <c r="A19" s="106" t="n">
        <v>13</v>
      </c>
      <c r="B19" s="97" t="inlineStr">
        <is>
          <t>IBISWorld J5921 revenue, 2025</t>
        </is>
      </c>
      <c r="C19" s="108" t="inlineStr">
        <is>
          <t>A$bn</t>
        </is>
      </c>
      <c r="D19" s="104" t="inlineStr"/>
      <c r="E19" s="123" t="n">
        <v>3.5</v>
      </c>
      <c r="F19" s="104" t="inlineStr"/>
      <c r="G19" s="124">
        <f>E19</f>
        <v>3.5</v>
      </c>
      <c r="H19" s="96" t="inlineStr">
        <is>
          <t>Source</t>
        </is>
      </c>
      <c r="I19" s="97" t="inlineStr">
        <is>
          <t>S-01</t>
        </is>
      </c>
      <c r="J19" s="97" t="inlineStr">
        <is>
          <t>IBISWorld, Oct 2025 (+9.8% YoY)</t>
        </is>
      </c>
      <c r="K19" s="110" t="inlineStr">
        <is>
          <t>A$bn - ANZSIC J5921 revenue</t>
        </is>
      </c>
    </row>
    <row r="20">
      <c r="A20" s="106" t="n">
        <v>14</v>
      </c>
      <c r="B20" s="97" t="inlineStr">
        <is>
          <t>IBISWorld J5921 revenue, 2026F</t>
        </is>
      </c>
      <c r="C20" s="108" t="inlineStr">
        <is>
          <t>A$bn</t>
        </is>
      </c>
      <c r="D20" s="104" t="inlineStr"/>
      <c r="E20" s="123" t="n">
        <v>4.1</v>
      </c>
      <c r="F20" s="104" t="inlineStr"/>
      <c r="G20" s="124">
        <f>E20</f>
        <v>4.1</v>
      </c>
      <c r="H20" s="96" t="inlineStr">
        <is>
          <t>Source</t>
        </is>
      </c>
      <c r="I20" s="97" t="inlineStr">
        <is>
          <t>S-01</t>
        </is>
      </c>
      <c r="J20" s="97" t="inlineStr">
        <is>
          <t>IBISWorld, Oct 2025</t>
        </is>
      </c>
      <c r="K20" s="110" t="inlineStr">
        <is>
          <t>A$bn - ANZSIC J5921 revenue</t>
        </is>
      </c>
    </row>
    <row r="21">
      <c r="A21" s="106" t="n">
        <v>15</v>
      </c>
      <c r="B21" s="97" t="inlineStr">
        <is>
          <t>IBISWorld J5921 CAGR 2020–25</t>
        </is>
      </c>
      <c r="C21" s="108" t="inlineStr">
        <is>
          <t>%</t>
        </is>
      </c>
      <c r="D21" s="104" t="inlineStr"/>
      <c r="E21" s="119" t="n">
        <v>0.076</v>
      </c>
      <c r="F21" s="104" t="inlineStr"/>
      <c r="G21" s="120">
        <f>E21</f>
        <v>0.076</v>
      </c>
      <c r="H21" s="96" t="inlineStr">
        <is>
          <t>Source</t>
        </is>
      </c>
      <c r="I21" s="97" t="inlineStr">
        <is>
          <t>S-01</t>
        </is>
      </c>
      <c r="J21" s="97" t="inlineStr">
        <is>
          <t>IBISWorld, Oct 2025</t>
        </is>
      </c>
      <c r="K21" s="110" t="inlineStr">
        <is>
          <t>growth rate - A$bn - ANZSIC J5921 revenue</t>
        </is>
      </c>
    </row>
    <row r="22">
      <c r="A22" s="106" t="n">
        <v>16</v>
      </c>
      <c r="B22" s="97" t="inlineStr">
        <is>
          <t>IBISWorld OD5323 revenue, 2026</t>
        </is>
      </c>
      <c r="C22" s="108" t="inlineStr">
        <is>
          <t>A$bn</t>
        </is>
      </c>
      <c r="D22" s="104" t="inlineStr"/>
      <c r="E22" s="123" t="n">
        <v>1.5</v>
      </c>
      <c r="F22" s="104" t="inlineStr"/>
      <c r="G22" s="124">
        <f>E22</f>
        <v>1.5</v>
      </c>
      <c r="H22" s="96" t="inlineStr">
        <is>
          <t>Source</t>
        </is>
      </c>
      <c r="I22" s="97" t="inlineStr">
        <is>
          <t>S-02</t>
        </is>
      </c>
      <c r="J22" s="97" t="inlineStr">
        <is>
          <t>IBISWorld Internet Hosting Services, Mar 2026</t>
        </is>
      </c>
      <c r="K22" s="110" t="inlineStr">
        <is>
          <t>A$bn - ANZSIC OD5323 revenue</t>
        </is>
      </c>
    </row>
    <row r="23">
      <c r="A23" s="106" t="n">
        <v>17</v>
      </c>
      <c r="B23" s="97" t="inlineStr">
        <is>
          <t>IMARC market revenue, 2025</t>
        </is>
      </c>
      <c r="C23" s="108" t="inlineStr">
        <is>
          <t>US$bn</t>
        </is>
      </c>
      <c r="D23" s="104" t="inlineStr"/>
      <c r="E23" s="123" t="n">
        <v>4.8</v>
      </c>
      <c r="F23" s="104" t="inlineStr"/>
      <c r="G23" s="124">
        <f>E23</f>
        <v>4.8</v>
      </c>
      <c r="H23" s="96" t="inlineStr">
        <is>
          <t>Source</t>
        </is>
      </c>
      <c r="I23" s="97" t="inlineStr">
        <is>
          <t>S-03</t>
        </is>
      </c>
      <c r="J23" s="97" t="inlineStr">
        <is>
          <t>IMARC 2026 edition (broad solution+services scope)</t>
        </is>
      </c>
      <c r="K23" s="110" t="inlineStr">
        <is>
          <t>US$bn - IMARC market scope</t>
        </is>
      </c>
    </row>
    <row r="24">
      <c r="A24" s="106" t="n">
        <v>18</v>
      </c>
      <c r="B24" s="97" t="inlineStr">
        <is>
          <t>ResearchAndMarkets revenue, 2025</t>
        </is>
      </c>
      <c r="C24" s="108" t="inlineStr">
        <is>
          <t>US$bn</t>
        </is>
      </c>
      <c r="D24" s="104" t="inlineStr"/>
      <c r="E24" s="123" t="n">
        <v>4.22</v>
      </c>
      <c r="F24" s="104" t="inlineStr"/>
      <c r="G24" s="124">
        <f>E24</f>
        <v>4.22</v>
      </c>
      <c r="H24" s="96" t="inlineStr">
        <is>
          <t>Source</t>
        </is>
      </c>
      <c r="I24" s="97" t="inlineStr">
        <is>
          <t>S-04</t>
        </is>
      </c>
      <c r="J24" s="97" t="inlineStr">
        <is>
          <t>ResearchAndMarkets, 2026</t>
        </is>
      </c>
      <c r="K24" s="110" t="inlineStr">
        <is>
          <t>US$bn - ResearchAndMarkets market scope</t>
        </is>
      </c>
    </row>
    <row r="25">
      <c r="A25" s="106" t="n">
        <v>19</v>
      </c>
      <c r="B25" s="97" t="inlineStr">
        <is>
          <t>ResearchAndMarkets CAGR 2025–31</t>
        </is>
      </c>
      <c r="C25" s="108" t="inlineStr">
        <is>
          <t>%</t>
        </is>
      </c>
      <c r="D25" s="104" t="inlineStr"/>
      <c r="E25" s="119" t="n">
        <v>0.135</v>
      </c>
      <c r="F25" s="104" t="inlineStr"/>
      <c r="G25" s="120">
        <f>E25</f>
        <v>0.135</v>
      </c>
      <c r="H25" s="96" t="inlineStr">
        <is>
          <t>Source</t>
        </is>
      </c>
      <c r="I25" s="97" t="inlineStr">
        <is>
          <t>S-04</t>
        </is>
      </c>
      <c r="J25" s="97" t="inlineStr">
        <is>
          <t>ResearchAndMarkets, 2026</t>
        </is>
      </c>
      <c r="K25" s="110" t="inlineStr">
        <is>
          <t>growth rate - US$bn - ResearchAndMarkets market scope</t>
        </is>
      </c>
    </row>
    <row r="26">
      <c r="A26" s="106" t="n">
        <v>20</v>
      </c>
      <c r="B26" s="97" t="inlineStr">
        <is>
          <t>FX: US$ per A$1 (conversion assumption)</t>
        </is>
      </c>
      <c r="C26" s="108" t="inlineStr">
        <is>
          <t>US$/A$</t>
        </is>
      </c>
      <c r="D26" s="125" t="n">
        <v>0.62</v>
      </c>
      <c r="E26" s="125" t="n">
        <v>0.66</v>
      </c>
      <c r="F26" s="125" t="n">
        <v>0.7</v>
      </c>
      <c r="G26" s="126">
        <f>E26</f>
        <v>0.66</v>
      </c>
      <c r="H26" s="96" t="inlineStr">
        <is>
          <t>Assumption</t>
        </is>
      </c>
      <c r="I26" s="97" t="inlineStr">
        <is>
          <t>S-03; S-42 (anchors)</t>
        </is>
      </c>
      <c r="J26" s="97" t="inlineStr">
        <is>
          <t>inashanu estimate — anchored on dossier's own conversions (US$4.8bn≈A$7.3bn; US$6.7bn≈A$10bn)</t>
        </is>
      </c>
      <c r="K26" s="110" t="inlineStr">
        <is>
          <t>US$ per A$1</t>
        </is>
      </c>
    </row>
    <row r="27">
      <c r="A27" s="106" t="n">
        <v>21</v>
      </c>
      <c r="B27" s="97" t="inlineStr">
        <is>
          <t>Sydney colocation price (250–500 kW)</t>
        </is>
      </c>
      <c r="C27" s="108" t="inlineStr">
        <is>
          <t>US$/kW/mo</t>
        </is>
      </c>
      <c r="D27" s="123" t="n">
        <v>140</v>
      </c>
      <c r="E27" s="127">
        <f>(D27+F27)/2</f>
        <v>177.5</v>
      </c>
      <c r="F27" s="123" t="n">
        <v>215</v>
      </c>
      <c r="G27" s="127">
        <f>CHOOSE($C$4,D27,E27,F27)</f>
        <v>177.5</v>
      </c>
      <c r="H27" s="96" t="inlineStr">
        <is>
          <t>Source</t>
        </is>
      </c>
      <c r="I27" s="97" t="inlineStr">
        <is>
          <t>S-07</t>
        </is>
      </c>
      <c r="J27" s="97" t="inlineStr">
        <is>
          <t>CBRE Global Data Center Trends 2025 (Q1 2025); base = midpoint</t>
        </is>
      </c>
      <c r="K27" s="110" t="inlineStr">
        <is>
          <t>US$/kW/month - colocation 250-500 kW</t>
        </is>
      </c>
    </row>
    <row r="28">
      <c r="A28" s="106" t="n">
        <v>22</v>
      </c>
      <c r="B28" s="97" t="inlineStr">
        <is>
          <t>NEXTDC billing utilisation, FY25</t>
        </is>
      </c>
      <c r="C28" s="108" t="inlineStr">
        <is>
          <t>MW</t>
        </is>
      </c>
      <c r="D28" s="104" t="inlineStr"/>
      <c r="E28" s="128" t="n">
        <v>110.9</v>
      </c>
      <c r="F28" s="104" t="inlineStr"/>
      <c r="G28" s="129">
        <f>E28</f>
        <v>110.9</v>
      </c>
      <c r="H28" s="96" t="inlineStr">
        <is>
          <t>Source</t>
        </is>
      </c>
      <c r="I28" s="97" t="inlineStr">
        <is>
          <t>S-20</t>
        </is>
      </c>
      <c r="J28" s="97" t="inlineStr">
        <is>
          <t>Kalkine, 21 Jul 2026</t>
        </is>
      </c>
      <c r="K28" s="110" t="inlineStr">
        <is>
          <t>MW - NEXTDC billing utilisation</t>
        </is>
      </c>
    </row>
    <row r="29">
      <c r="A29" s="106" t="n">
        <v>23</v>
      </c>
      <c r="B29" s="97" t="inlineStr">
        <is>
          <t>NEXTDC contracted utilisation, FY25</t>
        </is>
      </c>
      <c r="C29" s="108" t="inlineStr">
        <is>
          <t>MW</t>
        </is>
      </c>
      <c r="D29" s="104" t="inlineStr"/>
      <c r="E29" s="128" t="n">
        <v>244.8</v>
      </c>
      <c r="F29" s="104" t="inlineStr"/>
      <c r="G29" s="129">
        <f>E29</f>
        <v>244.8</v>
      </c>
      <c r="H29" s="96" t="inlineStr">
        <is>
          <t>Source</t>
        </is>
      </c>
      <c r="I29" s="97" t="inlineStr">
        <is>
          <t>S-20</t>
        </is>
      </c>
      <c r="J29" s="97" t="inlineStr">
        <is>
          <t>Kalkine, 21 Jul 2026</t>
        </is>
      </c>
      <c r="K29" s="110" t="inlineStr">
        <is>
          <t>MW - NEXTDC contracted utilisation</t>
        </is>
      </c>
    </row>
    <row r="30">
      <c r="A30" s="106" t="n">
        <v>24</v>
      </c>
      <c r="B30" s="97" t="inlineStr">
        <is>
          <t>Billing / contracted conversion</t>
        </is>
      </c>
      <c r="C30" s="108" t="inlineStr">
        <is>
          <t>%</t>
        </is>
      </c>
      <c r="D30" s="104" t="inlineStr"/>
      <c r="E30" s="122">
        <f>E28/E29</f>
        <v>0.45302287581699346</v>
      </c>
      <c r="F30" s="104" t="inlineStr"/>
      <c r="G30" s="120">
        <f>E30</f>
        <v>0.45302287581699346</v>
      </c>
      <c r="H30" s="96" t="inlineStr">
        <is>
          <t>Source (derived)</t>
        </is>
      </c>
      <c r="I30" s="97" t="inlineStr">
        <is>
          <t>S-20</t>
        </is>
      </c>
      <c r="J30" s="97" t="inlineStr">
        <is>
          <t>Formula from the two rows above — sector-wide proxy for the contracted-to-billing lag</t>
        </is>
      </c>
      <c r="K30" s="110" t="inlineStr">
        <is>
          <t>ratio - NEXTDC billing utilisation over contracted utilisation</t>
        </is>
      </c>
    </row>
    <row r="31">
      <c r="A31" s="106" t="n">
        <v>25</v>
      </c>
      <c r="B31" s="97" t="inlineStr">
        <is>
          <t>Capex per MW — working range</t>
        </is>
      </c>
      <c r="C31" s="108" t="inlineStr">
        <is>
          <t>A$m/MW</t>
        </is>
      </c>
      <c r="D31" s="123" t="n">
        <v>6</v>
      </c>
      <c r="E31" s="123" t="n">
        <v>10.5</v>
      </c>
      <c r="F31" s="123" t="n">
        <v>15</v>
      </c>
      <c r="G31" s="127">
        <f>CHOOSE($C$4,D31,E31,F31)</f>
        <v>10.5</v>
      </c>
      <c r="H31" s="96" t="inlineStr">
        <is>
          <t>Source (derived range)</t>
        </is>
      </c>
      <c r="I31" s="97" t="inlineStr">
        <is>
          <t>S-15; S-16; S-19</t>
        </is>
      </c>
      <c r="J31" s="97" t="inlineStr">
        <is>
          <t>Dossier §8.3 derived benchmarks A$6–15m/MW by fit-out level; base = midpoint</t>
        </is>
      </c>
      <c r="K31" s="110" t="inlineStr">
        <is>
          <t>A$m per MW of IT load</t>
        </is>
      </c>
    </row>
    <row r="32">
      <c r="A32" s="106" t="n">
        <v>26</v>
      </c>
      <c r="B32" s="97" t="inlineStr">
        <is>
          <t>CDC contracted EBITDA per MW deployed</t>
        </is>
      </c>
      <c r="C32" s="108" t="inlineStr">
        <is>
          <t>A$m/MW/yr</t>
        </is>
      </c>
      <c r="D32" s="104" t="inlineStr"/>
      <c r="E32" s="123" t="n">
        <v>2</v>
      </c>
      <c r="F32" s="104" t="inlineStr"/>
      <c r="G32" s="124">
        <f>E32</f>
        <v>2</v>
      </c>
      <c r="H32" s="96" t="inlineStr">
        <is>
          <t>Source (derived)</t>
        </is>
      </c>
      <c r="I32" s="97" t="inlineStr">
        <is>
          <t>S-27</t>
        </is>
      </c>
      <c r="J32" s="97" t="inlineStr">
        <is>
          <t>CDC: 1 GW deployed ≈ ~A$2bn annualised contracted EBITDA (May 2026)</t>
        </is>
      </c>
      <c r="K32" s="110" t="inlineStr">
        <is>
          <t>A$m per MW of IT load per year</t>
        </is>
      </c>
    </row>
    <row r="33">
      <c r="A33" s="106" t="n">
        <v>27</v>
      </c>
      <c r="B33" s="97" t="inlineStr">
        <is>
          <t>Cap rate — AU DC band</t>
        </is>
      </c>
      <c r="C33" s="108" t="inlineStr">
        <is>
          <t>%</t>
        </is>
      </c>
      <c r="D33" s="119" t="n">
        <v>0.052</v>
      </c>
      <c r="E33" s="119" t="n">
        <v>0.057</v>
      </c>
      <c r="F33" s="119" t="n">
        <v>0.062</v>
      </c>
      <c r="G33" s="122">
        <f>CHOOSE($C$4,D33,E33,F33)</f>
        <v>0.057</v>
      </c>
      <c r="H33" s="96" t="inlineStr">
        <is>
          <t>Source</t>
        </is>
      </c>
      <c r="I33" s="97" t="inlineStr">
        <is>
          <t>S-31</t>
        </is>
      </c>
      <c r="J33" s="97" t="inlineStr">
        <is>
          <t>M3/Colliers 5.2–6.2%; base = midpoint. Wider PwC observed range 3.50–7.04% (S-19)</t>
        </is>
      </c>
      <c r="K33" s="110" t="inlineStr">
        <is>
          <t>% - capitalisation rate</t>
        </is>
      </c>
    </row>
    <row r="34">
      <c r="A34" s="106" t="n">
        <v>28</v>
      </c>
      <c r="B34" s="97" t="inlineStr">
        <is>
          <t>Sydney share of national operating capacity</t>
        </is>
      </c>
      <c r="C34" s="108" t="inlineStr">
        <is>
          <t>%</t>
        </is>
      </c>
      <c r="D34" s="104" t="inlineStr"/>
      <c r="E34" s="119" t="n">
        <v>0.6</v>
      </c>
      <c r="F34" s="104" t="inlineStr"/>
      <c r="G34" s="120">
        <f>E34</f>
        <v>0.6</v>
      </c>
      <c r="H34" s="96" t="inlineStr">
        <is>
          <t>Source</t>
        </is>
      </c>
      <c r="I34" s="97" t="inlineStr">
        <is>
          <t>S-03; S-14</t>
        </is>
      </c>
      <c r="J34" s="97" t="inlineStr">
        <is>
          <t>IMARC 2026 / ResearchAndMarkets: Sydney ~60% of built-out capacity</t>
        </is>
      </c>
      <c r="K34" s="110" t="inlineStr">
        <is>
          <t>share of operating IT load (national)</t>
        </is>
      </c>
    </row>
    <row r="35">
      <c r="A35" s="106" t="n">
        <v>29</v>
      </c>
      <c r="B35" s="97" t="inlineStr">
        <is>
          <t>Melbourne share of operating capacity</t>
        </is>
      </c>
      <c r="C35" s="108" t="inlineStr">
        <is>
          <t>%</t>
        </is>
      </c>
      <c r="D35" s="104" t="inlineStr"/>
      <c r="E35" s="121" t="n">
        <v>0.25</v>
      </c>
      <c r="F35" s="104" t="inlineStr"/>
      <c r="G35" s="120">
        <f>E35</f>
        <v>0.25</v>
      </c>
      <c r="H35" s="96" t="inlineStr">
        <is>
          <t>Assumption</t>
        </is>
      </c>
      <c r="I35" s="97" t="inlineStr">
        <is>
          <t>S-03 (anchor)</t>
        </is>
      </c>
      <c r="J35" s="97" t="inlineStr">
        <is>
          <t>inashanu estimate — anchored on IMARC VIC+TAS 24.8% regional revenue share</t>
        </is>
      </c>
      <c r="K35" s="110" t="inlineStr">
        <is>
          <t>share of operating IT load (national)</t>
        </is>
      </c>
    </row>
    <row r="36">
      <c r="A36" s="106" t="n">
        <v>30</v>
      </c>
      <c r="B36" s="97" t="inlineStr">
        <is>
          <t>Brisbane share of operating capacity</t>
        </is>
      </c>
      <c r="C36" s="108" t="inlineStr">
        <is>
          <t>%</t>
        </is>
      </c>
      <c r="D36" s="104" t="inlineStr"/>
      <c r="E36" s="121" t="n">
        <v>0.06</v>
      </c>
      <c r="F36" s="104" t="inlineStr"/>
      <c r="G36" s="120">
        <f>E36</f>
        <v>0.06</v>
      </c>
      <c r="H36" s="96" t="inlineStr">
        <is>
          <t>Assumption</t>
        </is>
      </c>
      <c r="I36" s="97" t="inlineStr">
        <is>
          <t>S-03 (anchor)</t>
        </is>
      </c>
      <c r="J36" s="97" t="inlineStr">
        <is>
          <t>inashanu estimate — IMARC QLD 16.3% revenue share, capacity-weighted down (smaller facilities)</t>
        </is>
      </c>
      <c r="K36" s="110" t="inlineStr">
        <is>
          <t>share of operating IT load (national)</t>
        </is>
      </c>
    </row>
    <row r="37">
      <c r="A37" s="106" t="n">
        <v>31</v>
      </c>
      <c r="B37" s="97" t="inlineStr">
        <is>
          <t>Perth share of operating capacity</t>
        </is>
      </c>
      <c r="C37" s="108" t="inlineStr">
        <is>
          <t>%</t>
        </is>
      </c>
      <c r="D37" s="104" t="inlineStr"/>
      <c r="E37" s="121" t="n">
        <v>0.05</v>
      </c>
      <c r="F37" s="104" t="inlineStr"/>
      <c r="G37" s="120">
        <f>E37</f>
        <v>0.05</v>
      </c>
      <c r="H37" s="96" t="inlineStr">
        <is>
          <t>Assumption</t>
        </is>
      </c>
      <c r="I37" s="97" t="inlineStr">
        <is>
          <t>S-03 (anchor)</t>
        </is>
      </c>
      <c r="J37" s="97" t="inlineStr">
        <is>
          <t>inashanu estimate — IMARC WA 12.4% revenue share, capacity-weighted down</t>
        </is>
      </c>
      <c r="K37" s="110" t="inlineStr">
        <is>
          <t>share of operating IT load (national)</t>
        </is>
      </c>
    </row>
    <row r="38">
      <c r="A38" s="106" t="n">
        <v>32</v>
      </c>
      <c r="B38" s="97" t="inlineStr">
        <is>
          <t>Canberra share of operating capacity</t>
        </is>
      </c>
      <c r="C38" s="108" t="inlineStr">
        <is>
          <t>%</t>
        </is>
      </c>
      <c r="D38" s="104" t="inlineStr"/>
      <c r="E38" s="121" t="n">
        <v>0.02</v>
      </c>
      <c r="F38" s="104" t="inlineStr"/>
      <c r="G38" s="120">
        <f>E38</f>
        <v>0.02</v>
      </c>
      <c r="H38" s="96" t="inlineStr">
        <is>
          <t>Assumption</t>
        </is>
      </c>
      <c r="I38" s="97" t="inlineStr">
        <is>
          <t>S-03 (anchor)</t>
        </is>
      </c>
      <c r="J38" s="97" t="inlineStr">
        <is>
          <t>inashanu estimate — sovereign CDC capacity sits within ACT&amp;NSW 36.5% revenue share</t>
        </is>
      </c>
      <c r="K38" s="110" t="inlineStr">
        <is>
          <t>share of operating IT load (national)</t>
        </is>
      </c>
    </row>
    <row r="39">
      <c r="A39" s="106" t="n">
        <v>33</v>
      </c>
      <c r="B39" s="97" t="inlineStr">
        <is>
          <t>Adelaide share of operating capacity</t>
        </is>
      </c>
      <c r="C39" s="108" t="inlineStr">
        <is>
          <t>%</t>
        </is>
      </c>
      <c r="D39" s="104" t="inlineStr"/>
      <c r="E39" s="121" t="n">
        <v>0.01</v>
      </c>
      <c r="F39" s="104" t="inlineStr"/>
      <c r="G39" s="120">
        <f>E39</f>
        <v>0.01</v>
      </c>
      <c r="H39" s="96" t="inlineStr">
        <is>
          <t>Assumption</t>
        </is>
      </c>
      <c r="I39" s="97" t="inlineStr">
        <is>
          <t>S-03 (anchor)</t>
        </is>
      </c>
      <c r="J39" s="97" t="inlineStr">
        <is>
          <t>inashanu estimate — NT&amp;SA 10.0% combined revenue share</t>
        </is>
      </c>
      <c r="K39" s="110" t="inlineStr">
        <is>
          <t>share of operating IT load (national)</t>
        </is>
      </c>
    </row>
    <row r="40">
      <c r="A40" s="106" t="n">
        <v>34</v>
      </c>
      <c r="B40" s="97" t="inlineStr">
        <is>
          <t>Other / regional share (balancing item)</t>
        </is>
      </c>
      <c r="C40" s="108" t="inlineStr">
        <is>
          <t>%</t>
        </is>
      </c>
      <c r="D40" s="104" t="inlineStr"/>
      <c r="E40" s="122">
        <f>1-SUM(E34:E39)</f>
        <v>0.010000000000000009</v>
      </c>
      <c r="F40" s="104" t="inlineStr"/>
      <c r="G40" s="120">
        <f>E40</f>
        <v>0.010000000000000009</v>
      </c>
      <c r="H40" s="96" t="inlineStr">
        <is>
          <t>Formula (check)</t>
        </is>
      </c>
      <c r="I40" s="111" t="inlineStr">
        <is>
          <t>—</t>
        </is>
      </c>
      <c r="J40" s="97" t="inlineStr">
        <is>
          <t>Formula: 1 − Σ shares above; must equal ~1% for the share build to hold</t>
        </is>
      </c>
      <c r="K40" s="110" t="inlineStr">
        <is>
          <t>share of operating IT load (national)</t>
        </is>
      </c>
    </row>
    <row r="41">
      <c r="A41" s="106" t="n">
        <v>35</v>
      </c>
      <c r="B41" s="97" t="inlineStr">
        <is>
          <t>Implied operating IT load, 2020 (interpolation base)</t>
        </is>
      </c>
      <c r="C41" s="108" t="inlineStr">
        <is>
          <t>MW</t>
        </is>
      </c>
      <c r="D41" s="104" t="inlineStr"/>
      <c r="E41" s="116">
        <f>E7/3</f>
        <v>450</v>
      </c>
      <c r="F41" s="104" t="inlineStr"/>
      <c r="G41" s="117">
        <f>E41</f>
        <v>450</v>
      </c>
      <c r="H41" s="96" t="inlineStr">
        <is>
          <t>Assumption</t>
        </is>
      </c>
      <c r="I41" s="97" t="inlineStr">
        <is>
          <t>S-09; S-10 (proportion)</t>
        </is>
      </c>
      <c r="J41" s="97" t="inlineStr">
        <is>
          <t>inashanu estimate — the level is the 1,350 MW operating base (S-09); the proportion is M3's (S-10). M3 reports that two-thirds of the 2005→2025 expansion occurred after 2020. The proportion is M3's; it is applied to the operating IT load series (1,350 ÷ 3) so that the interpolation runs between two points on one basis. Applying it to M3's own occupancy figure would put the 2020 point on the occupancy basis and the 2025 point on the operating basis.</t>
        </is>
      </c>
      <c r="K41" s="110" t="inlineStr">
        <is>
          <t>MW - operating IT load (national)</t>
        </is>
      </c>
    </row>
    <row r="42">
      <c r="A42" s="106" t="n">
        <v>36</v>
      </c>
      <c r="B42" s="97" t="inlineStr">
        <is>
          <t>Core services market revenue, 2026 (J5921 + OD5323)</t>
        </is>
      </c>
      <c r="C42" s="108" t="inlineStr">
        <is>
          <t>A$bn</t>
        </is>
      </c>
      <c r="D42" s="104" t="inlineStr"/>
      <c r="E42" s="127">
        <f>E20+E22</f>
        <v>5.6</v>
      </c>
      <c r="F42" s="104" t="inlineStr"/>
      <c r="G42" s="124">
        <f>E42</f>
        <v>5.6</v>
      </c>
      <c r="H42" s="96" t="inlineStr">
        <is>
          <t>Source (derived)</t>
        </is>
      </c>
      <c r="I42" s="97" t="inlineStr">
        <is>
          <t>S-01; S-02</t>
        </is>
      </c>
      <c r="J42" s="97" t="inlineStr">
        <is>
          <t>IBISWorld A$4.1bn (Oct 2025) + A$1.5bn (Mar 2026). ANZSIC hosting and data-processing scope: it does not capture hyperscale wholesale leasing, which is booked as rent. This is the published core-revenue base year.</t>
        </is>
      </c>
      <c r="K42" s="110" t="inlineStr">
        <is>
          <t>A$bn - ANZSIC J5921+OD5323 services revenue</t>
        </is>
      </c>
    </row>
    <row r="43">
      <c r="A43" s="106" t="n">
        <v>37</v>
      </c>
      <c r="B43" s="97" t="inlineStr">
        <is>
          <t>Core services revenue growth, 2026–30</t>
        </is>
      </c>
      <c r="C43" s="108" t="inlineStr">
        <is>
          <t>%</t>
        </is>
      </c>
      <c r="D43" s="121" t="n">
        <v>0.08</v>
      </c>
      <c r="E43" s="121" t="n">
        <v>0.12</v>
      </c>
      <c r="F43" s="121" t="n">
        <v>0.16</v>
      </c>
      <c r="G43" s="120">
        <f>CHOOSE($C$4,D43,E43,F43)</f>
        <v>0.12</v>
      </c>
      <c r="H43" s="96" t="inlineStr">
        <is>
          <t>Assumption</t>
        </is>
      </c>
      <c r="I43" s="97" t="inlineStr">
        <is>
          <t>S-01; S-02; S-04 (anchors)</t>
        </is>
      </c>
      <c r="J43" s="97" t="inlineStr">
        <is>
          <t>inashanu estimate on the services-revenue basis. Low at the IBISWorld historic 7.6–9.2% floor; base below ResearchAndMarkets' 13.5%; high set above the highest published revenue-basis rate to allow for the wholesale leasing that the ANZSIC classes book as rent and therefore exclude. No capacity-basis growth rate is used here. Bear / base / bull read from columns D / E / F.</t>
        </is>
      </c>
      <c r="K43" s="110" t="inlineStr">
        <is>
          <t>growth rate - A$bn - ANZSIC J5921+OD5323 services revenue</t>
        </is>
      </c>
    </row>
    <row r="44">
      <c r="A44" s="106" t="n">
        <v>38</v>
      </c>
      <c r="B44" s="97" t="inlineStr">
        <is>
          <t>Bull: under-construction pool commissioned by 2030</t>
        </is>
      </c>
      <c r="C44" s="108" t="inlineStr">
        <is>
          <t>%</t>
        </is>
      </c>
      <c r="D44" s="104" t="inlineStr"/>
      <c r="E44" s="121" t="n">
        <v>1</v>
      </c>
      <c r="F44" s="104" t="inlineStr"/>
      <c r="G44" s="120">
        <f>E44</f>
        <v>1</v>
      </c>
      <c r="H44" s="96" t="inlineStr">
        <is>
          <t>Assumption</t>
        </is>
      </c>
      <c r="I44" s="97" t="inlineStr">
        <is>
          <t>S-11; S-15 (anchors)</t>
        </is>
      </c>
      <c r="J44" s="97" t="inlineStr">
        <is>
          <t>inashanu estimate — the bull case is defined as every project with construction underway at Sep 2026 being commissioned within the five years to 2030. Execution risk on that pool is what #11 brackets for the bear and base; the bull sets it aside by definition rather than by fitting a number.</t>
        </is>
      </c>
      <c r="K44" s="110" t="inlineStr">
        <is>
          <t>share of announced project capacity</t>
        </is>
      </c>
    </row>
    <row r="45">
      <c r="A45" s="106" t="n">
        <v>39</v>
      </c>
      <c r="B45" s="97" t="inlineStr">
        <is>
          <t>Bull: planned and deferred pipeline converting by 2030</t>
        </is>
      </c>
      <c r="C45" s="108" t="inlineStr">
        <is>
          <t>%</t>
        </is>
      </c>
      <c r="D45" s="104" t="inlineStr"/>
      <c r="E45" s="121" t="n">
        <v>0.35</v>
      </c>
      <c r="F45" s="104" t="inlineStr"/>
      <c r="G45" s="120">
        <f>E45</f>
        <v>0.35</v>
      </c>
      <c r="H45" s="96" t="inlineStr">
        <is>
          <t>Assumption</t>
        </is>
      </c>
      <c r="I45" s="97" t="inlineStr">
        <is>
          <t>S-11 (anchor)</t>
        </is>
      </c>
      <c r="J45" s="97" t="inlineStr">
        <is>
          <t>inashanu estimate — the high end of the planned-deliverability band carried in the Sensitivity tornado (15% / 25% / 35% around M3's 25% near-term 'fully deliverable' share). Applied to the planned pool and to the Firmus Southgate 2028 target balance, which every other line excludes.</t>
        </is>
      </c>
      <c r="K45" s="110" t="inlineStr">
        <is>
          <t>share of announced project capacity</t>
        </is>
      </c>
    </row>
    <row r="46">
      <c r="A46" s="106" t="n">
        <v>40</v>
      </c>
      <c r="B46" s="97" t="inlineStr">
        <is>
          <t>NEXTDC gross margin (basis conversion: net revenue to gross profit)</t>
        </is>
      </c>
      <c r="C46" s="108" t="inlineStr">
        <is>
          <t>%</t>
        </is>
      </c>
      <c r="D46" s="104" t="inlineStr"/>
      <c r="E46" s="119" t="n">
        <v>0.82</v>
      </c>
      <c r="F46" s="104" t="inlineStr"/>
      <c r="G46" s="120">
        <f>E46</f>
        <v>0.82</v>
      </c>
      <c r="H46" s="96" t="inlineStr">
        <is>
          <t>Source (basis conversion)</t>
        </is>
      </c>
      <c r="I46" s="97" t="inlineStr">
        <is>
          <t>S-22; S-41</t>
        </is>
      </c>
      <c r="J46" s="97" t="inlineStr">
        <is>
          <t>The margin bridge walks from net revenue to an earnings line, and those are two different measurements: one is what customers paid net of recovered power, the other is what was left after cost of service. The step between them is this factor, and it sits in a cell because it was a constant written inside the bridge formula until 21 September 2026 and nothing could be checked about it there. Value unchanged at about 82 per cent, per the FY26 gross-margin disclosure.</t>
        </is>
      </c>
      <c r="K46" s="110" t="inlineStr">
        <is>
          <t>conversion factor - NEXTDC net revenue to gross profit</t>
        </is>
      </c>
    </row>
    <row r="47">
      <c r="A47" s="106" t="n">
        <v>41</v>
      </c>
      <c r="B47" s="97" t="inlineStr">
        <is>
          <t>Announced project MW to operating IT load (basis conversion)</t>
        </is>
      </c>
      <c r="C47" s="108" t="inlineStr">
        <is>
          <t>MW/MW</t>
        </is>
      </c>
      <c r="D47" s="104" t="inlineStr"/>
      <c r="E47" s="125" t="n">
        <v>1</v>
      </c>
      <c r="F47" s="104" t="inlineStr"/>
      <c r="G47" s="126">
        <f>E47</f>
        <v>1</v>
      </c>
      <c r="H47" s="96" t="inlineStr">
        <is>
          <t>Assumption (basis conversion)</t>
        </is>
      </c>
      <c r="I47" s="97" t="inlineStr">
        <is>
          <t>S-11; S-15; S-16; S-20; S-29; S-32; S-35; S-39; S-45; S-46</t>
        </is>
      </c>
      <c r="J47" s="97" t="inlineStr">
        <is>
          <t>The pipeline pool and the 2025 installed base are measured on two different definitions. The pool counts megawatts a developer has announced for a project; the installed series counts megawatts of IT load already commissioned. Adding one to the other needs a stated conversion, and this is it. It is held at 1.00 for one reason: the project table records each project on the MW figure its own source states as IT capacity, and it enters the funded or approved figure where a source publishes a larger target, so Firmus Southgate enters at 150 MW against a 1,600 MW target and CDC Marsden Park at 504 MW against a campus scalable to about 1,000. No second definitional haircut is taken here. Execution risk is priced separately at #11, #38 and #39 and is not in this factor. Declared limit: two rows carry figures their sources word as 'up to' (AirTrunk SYD4 at 1,200 MW, ISPT Kemps Creek at 1,000 MW) and are held at that figure, so on those two rows the factor is an upper bound. Moving this cell moves every bottom-up total in the workbook, which is the point of it being a cell.</t>
        </is>
      </c>
      <c r="K47" s="110" t="inlineStr">
        <is>
          <t>conversion factor - announced project capacity to operating IT load (national)</t>
        </is>
      </c>
    </row>
    <row r="48"/>
    <row r="49">
      <c r="A49" s="94" t="inlineStr">
        <is>
          <t>Metro shares are inashanu estimates: no house publishes an audited metro split of operational MW (dossier data-gap #1). Sydney's 60% is sourced; the balance is anchored on IMARC regional revenue shares and sums to 100% via the balancing formula row.</t>
        </is>
      </c>
    </row>
    <row r="50">
      <c r="A50" s="94" t="inlineStr">
        <is>
          <t>Rows with 'Source (derived)' type compute directly from cited figures (e.g. billing conversion = 110.9 ÷ 244.8 MW). Scenario-linked rows use CHOOSE($C$4, low, base, high).</t>
        </is>
      </c>
    </row>
    <row r="51">
      <c r="A51" s="94" t="inlineStr">
        <is>
          <t>The Basis column states what each figure counts and whose definition it counts on. Two figures on different bases can sit side by side in this model, and several do. What they cannot do is meet inside one growth rate: a compound rate between a start on one basis and an end on another measures the difference between two definitions as well as the change over time, and cannot be read as either. A growth rate measured on one basis is applied only to a stock on that same basis, and a quantity crosses from one basis to another only through a declared conversion, of which this sheet holds two, at #40 and #41.</t>
        </is>
      </c>
    </row>
    <row r="52">
      <c r="A52" s="94" t="inlineStr">
        <is>
          <t>This column is checked and is not the authority. From 21 September 2026 the Basis_Registry sheet declares what every input cell counts, as an identifier with a unit, a source and an as-of date, and build/check_basis.py parses every formula in the saved file, walks its precedents, and derives what each computed cell counts from what its inputs count. The derivation is then held against the label. Editing a label moves nothing, which is the point: the check it replaced compared two labels and was beaten by editing one of them.</t>
        </is>
      </c>
    </row>
    <row r="53">
      <c r="A53" s="94" t="inlineStr">
        <is>
          <t>Driver #4 changed on 21 September 2026. It previously held 7,180 MW, which is Mordor Intelligence's 2030 capacity figure. Mordor publishes the sentence “The IT load capacity or installed capacity, refers to the amount of energy consumed by servers and network equipments placed in a rack installed.” Its 2025 value is 3,530 MW and not the 1,350 MW operating IT load this model grows from, so the compound rate computed from one to the other was a rate between two different measurements. The target is now built from this model's own pipeline on the operating IT load basis. Mordor's series is unchanged and still runs, on its own basis, at Market_Sizing section A.</t>
        </is>
      </c>
    </row>
  </sheetData>
  <dataValidations count="1">
    <dataValidation sqref="C4" showDropDown="0" showInputMessage="0" showErrorMessage="0" allowBlank="0" promptTitle="Scenario" prompt="1 = Bear, 2 = Base, 3 = Bull" type="list">
      <formula1>"1,2,3"</formula1>
    </dataValidation>
  </dataValidations>
  <printOptions horizontalCentered="0"/>
  <pageMargins left="0.4" right="0.4" top="0.5" bottom="0.5" header="0.5" footer="0.5"/>
  <pageSetup orientation="landscape" fitToHeight="0" fitToWidth="1"/>
</worksheet>
</file>

<file path=xl/worksheets/sheet5.xml><?xml version="1.0" encoding="utf-8"?>
<worksheet xmlns="http://schemas.openxmlformats.org/spreadsheetml/2006/main">
  <sheetPr>
    <tabColor rgb="003D4E68"/>
    <outlinePr summaryBelow="1" summaryRight="1"/>
    <pageSetUpPr fitToPage="1"/>
  </sheetPr>
  <dimension ref="A1:J63"/>
  <sheetViews>
    <sheetView showGridLines="0" workbookViewId="0">
      <pane xSplit="1" ySplit="4" topLeftCell="B5" activePane="bottomRight" state="frozen"/>
      <selection pane="topRight" activeCell="A1" sqref="A1"/>
      <selection pane="bottomLeft" activeCell="A1" sqref="A1"/>
      <selection pane="bottomRight" activeCell="A1" sqref="A1"/>
      <selection pane="bottomLeft" activeCell="A1" sqref="A1"/>
      <selection pane="bottomRight" activeCell="A1" sqref="A1"/>
    </sheetView>
  </sheetViews>
  <sheetFormatPr baseColWidth="8" defaultRowHeight="15"/>
  <cols>
    <col width="52" customWidth="1" min="1" max="1"/>
    <col width="12" customWidth="1" min="2" max="2"/>
    <col width="12" customWidth="1" min="3" max="3"/>
    <col width="12" customWidth="1" min="4" max="4"/>
    <col width="12" customWidth="1" min="5" max="5"/>
    <col width="12" customWidth="1" min="6" max="6"/>
    <col width="12" customWidth="1" min="7" max="7"/>
    <col width="12" customWidth="1" min="8" max="8"/>
    <col width="12" customWidth="1" min="9" max="9"/>
    <col width="12" customWidth="1" min="10" max="10"/>
  </cols>
  <sheetData>
    <row r="1">
      <c r="A1" s="91" t="inlineStr">
        <is>
          <t>Market Sizing: Capacity &amp; Revenue Build, 2022–2030E</t>
        </is>
      </c>
      <c r="B1" s="91" t="n"/>
      <c r="C1" s="91" t="n"/>
      <c r="D1" s="91" t="n"/>
      <c r="E1" s="91" t="n"/>
      <c r="F1" s="91" t="n"/>
      <c r="G1" s="91" t="n"/>
      <c r="H1" s="91" t="n"/>
      <c r="I1" s="91" t="n"/>
      <c r="J1" s="91" t="n"/>
    </row>
    <row r="2">
      <c r="A2" s="92" t="inlineStr">
        <is>
          <t>Operational IT load (MW) and third-party colocation revenue (A$). All outputs formula-driven; scenario set on Assumptions!C4.</t>
        </is>
      </c>
      <c r="B2" s="92" t="n"/>
      <c r="C2" s="92" t="n"/>
      <c r="D2" s="92" t="n"/>
      <c r="E2" s="92" t="n"/>
      <c r="F2" s="92" t="n"/>
      <c r="G2" s="92" t="n"/>
      <c r="H2" s="92" t="n"/>
      <c r="I2" s="92" t="n"/>
      <c r="J2" s="92" t="n"/>
    </row>
    <row r="3">
      <c r="A3" s="101" t="str">
        <f>"Active scenario: "&amp;CHOOSE(Assumptions!$C$4,"BEAR","BASE","BULL")&amp;"   (selector: Assumptions!C4)"</f>
        <v>Active scenario: BASE   (selector: Assumptions!C4)</v>
      </c>
    </row>
    <row r="4"/>
    <row r="5">
      <c r="A5" s="93" t="inlineStr">
        <is>
          <t>A. Capacity build — operational IT load (MW)</t>
        </is>
      </c>
      <c r="B5" s="93" t="n"/>
      <c r="C5" s="93" t="n"/>
      <c r="D5" s="93" t="n"/>
      <c r="E5" s="93" t="n"/>
      <c r="F5" s="93" t="n"/>
      <c r="G5" s="93" t="n"/>
      <c r="H5" s="93" t="n"/>
      <c r="I5" s="93" t="n"/>
      <c r="J5" s="93" t="n"/>
    </row>
    <row r="6">
      <c r="A6" s="96" t="inlineStr">
        <is>
          <t>Implied CAGR 2025→2030 — Bear</t>
        </is>
      </c>
      <c r="B6" s="130">
        <f>(Assumptions!$E$8/Assumptions!$E$7)^(1/5)-1</f>
        <v>0.29935328030539643</v>
      </c>
      <c r="C6" s="94" t="inlineStr">
        <is>
          <t>Formula: (5,000 MW target ÷ 1,350 MW 2025 base)^(1/5) − 1 — dossier synthesis low band (S-44)</t>
        </is>
      </c>
      <c r="D6" s="101" t="str">
        <f>IF(Assumptions!$K$8=Assumptions!$K$7,"same basis","BASIS MISMATCH")</f>
        <v>same basis</v>
      </c>
      <c r="E6" s="101" t="str">
        <f>Assumptions!$K$8&amp;"   over   "&amp;Assumptions!$K$7</f>
        <v>MW - operating IT load (national)   over   MW - operating IT load (national)</v>
      </c>
    </row>
    <row r="7">
      <c r="A7" s="96" t="inlineStr">
        <is>
          <t>Implied CAGR 2025→2030 — Base</t>
        </is>
      </c>
      <c r="B7" s="130">
        <f>(Assumptions!$E$9/Assumptions!$E$7)^(1/5)-1</f>
        <v>0.3476077390266208</v>
      </c>
      <c r="C7" s="94" t="inlineStr">
        <is>
          <t>AEMO Step Change ~6 GW by 2030 (S-33)</t>
        </is>
      </c>
      <c r="D7" s="101" t="str">
        <f>IF(Assumptions!$K$9=Assumptions!$K$7,"same basis","BASIS MISMATCH")</f>
        <v>same basis</v>
      </c>
      <c r="E7" s="101" t="str">
        <f>Assumptions!$K$9&amp;"   over   "&amp;Assumptions!$K$7</f>
        <v>MW - operating IT load (national)   over   MW - operating IT load (national)</v>
      </c>
    </row>
    <row r="8">
      <c r="A8" s="96" t="inlineStr">
        <is>
          <t>Implied CAGR 2025→2030 — Bull</t>
        </is>
      </c>
      <c r="B8" s="130">
        <f>(Assumptions!$E$10/Assumptions!$E$7)^(1/5)-1</f>
        <v>0.3573483621913067</v>
      </c>
      <c r="C8" s="94" t="inlineStr">
        <is>
          <t>Bottom-up bull build on the operating IT load basis (Assumptions #4, #38, #39)</t>
        </is>
      </c>
      <c r="D8" s="101" t="str">
        <f>IF(Assumptions!$K$10=Assumptions!$K$7,"same basis","BASIS MISMATCH")</f>
        <v>same basis</v>
      </c>
      <c r="E8" s="101" t="str">
        <f>Assumptions!$K$10&amp;"   over   "&amp;Assumptions!$K$7</f>
        <v>MW - operating IT load (national)   over   MW - operating IT load (national)</v>
      </c>
    </row>
    <row r="9">
      <c r="A9" s="96" t="inlineStr">
        <is>
          <t>Selected CAGR (scenario switch)</t>
        </is>
      </c>
      <c r="B9" s="130">
        <f>CHOOSE(Assumptions!$C$4,$B$6,$B$7,$B$8)</f>
        <v>0.3476077390266208</v>
      </c>
      <c r="C9" s="94" t="inlineStr">
        <is>
          <t>Drives the 'Selected scenario' row below</t>
        </is>
      </c>
    </row>
    <row r="10">
      <c r="A10" s="131" t="inlineStr">
        <is>
          <t>BASIS GATE — every implied CAGR above runs between two cells on one basis</t>
        </is>
      </c>
      <c r="B10" s="131" t="str">
        <f>IF(COUNTIF(D6:D8,"BASIS MISMATCH")=0,"PASS","FAIL")</f>
        <v>PASS</v>
      </c>
      <c r="C10" s="94" t="inlineStr">
        <is>
          <t>Reads the Basis column on Assumptions. Nothing in section A is published while this reads FAIL.</t>
        </is>
      </c>
    </row>
    <row r="11"/>
    <row r="12">
      <c r="A12" s="95" t="inlineStr">
        <is>
          <t>Metric</t>
        </is>
      </c>
      <c r="B12" s="132" t="n">
        <v>2022</v>
      </c>
      <c r="C12" s="132" t="n">
        <v>2023</v>
      </c>
      <c r="D12" s="132" t="n">
        <v>2024</v>
      </c>
      <c r="E12" s="132" t="n">
        <v>2025</v>
      </c>
      <c r="F12" s="132" t="n">
        <v>2026</v>
      </c>
      <c r="G12" s="132" t="n">
        <v>2027</v>
      </c>
      <c r="H12" s="132" t="n">
        <v>2028</v>
      </c>
      <c r="I12" s="132" t="n">
        <v>2029</v>
      </c>
      <c r="J12" s="132" t="n">
        <v>2030</v>
      </c>
    </row>
    <row r="13">
      <c r="A13" s="97" t="inlineStr">
        <is>
          <t>Operating MW — Bear</t>
        </is>
      </c>
      <c r="B13" s="118">
        <f>Assumptions!$E$41*(Assumptions!$E$7/Assumptions!$E$41)^((B$12-2020)/5)</f>
        <v>698.330508261912</v>
      </c>
      <c r="C13" s="118">
        <f>Assumptions!$E$41*(Assumptions!$E$7/Assumptions!$E$41)^((C$12-2020)/5)</f>
        <v>869.9319202192933</v>
      </c>
      <c r="D13" s="118">
        <f>Assumptions!$E$41*(Assumptions!$E$7/Assumptions!$E$41)^((D$12-2020)/5)</f>
        <v>1083.7011083763116</v>
      </c>
      <c r="E13" s="118">
        <f>Assumptions!$E$7</f>
        <v>1350</v>
      </c>
      <c r="F13" s="117">
        <f>E13*(1+$B$6)</f>
        <v>1754.1269284122852</v>
      </c>
      <c r="G13" s="117">
        <f>F13*(1+$B$6)</f>
        <v>2279.230578504532</v>
      </c>
      <c r="H13" s="117">
        <f>G13*(1+$B$6)</f>
        <v>2961.52572875223</v>
      </c>
      <c r="I13" s="117">
        <f>H13*(1+$B$6)</f>
        <v>3848.06817036304</v>
      </c>
      <c r="J13" s="117">
        <f>I13*(1+$B$6)</f>
        <v>5000.000000000001</v>
      </c>
    </row>
    <row r="14">
      <c r="A14" s="97" t="inlineStr">
        <is>
          <t>Operating MW — Base</t>
        </is>
      </c>
      <c r="B14" s="118">
        <f>Assumptions!$E$41*(Assumptions!$E$7/Assumptions!$E$41)^((B$12-2020)/5)</f>
        <v>698.330508261912</v>
      </c>
      <c r="C14" s="118">
        <f>Assumptions!$E$41*(Assumptions!$E$7/Assumptions!$E$41)^((C$12-2020)/5)</f>
        <v>869.9319202192933</v>
      </c>
      <c r="D14" s="118">
        <f>Assumptions!$E$41*(Assumptions!$E$7/Assumptions!$E$41)^((D$12-2020)/5)</f>
        <v>1083.7011083763116</v>
      </c>
      <c r="E14" s="118">
        <f>Assumptions!$E$7</f>
        <v>1350</v>
      </c>
      <c r="F14" s="117">
        <f>E14*(1+$B$7)</f>
        <v>1819.270447685938</v>
      </c>
      <c r="G14" s="117">
        <f>F14*(1+$B$7)</f>
        <v>2451.662934683995</v>
      </c>
      <c r="H14" s="117">
        <f>G14*(1+$B$7)</f>
        <v>3303.8799442648683</v>
      </c>
      <c r="I14" s="117">
        <f>H14*(1+$B$7)</f>
        <v>4452.334181706177</v>
      </c>
      <c r="J14" s="116">
        <f>I14*(1+$B$7)</f>
        <v>6000.000000000002</v>
      </c>
    </row>
    <row r="15">
      <c r="A15" s="97" t="inlineStr">
        <is>
          <t>Operating MW — Bull</t>
        </is>
      </c>
      <c r="B15" s="118">
        <f>Assumptions!$E$41*(Assumptions!$E$7/Assumptions!$E$41)^((B$12-2020)/5)</f>
        <v>698.330508261912</v>
      </c>
      <c r="C15" s="118">
        <f>Assumptions!$E$41*(Assumptions!$E$7/Assumptions!$E$41)^((C$12-2020)/5)</f>
        <v>869.9319202192933</v>
      </c>
      <c r="D15" s="118">
        <f>Assumptions!$E$41*(Assumptions!$E$7/Assumptions!$E$41)^((D$12-2020)/5)</f>
        <v>1083.7011083763116</v>
      </c>
      <c r="E15" s="118">
        <f>Assumptions!$E$7</f>
        <v>1350</v>
      </c>
      <c r="F15" s="117">
        <f>E15*(1+$B$8)</f>
        <v>1832.420288958264</v>
      </c>
      <c r="G15" s="117">
        <f>F15*(1+$B$8)</f>
        <v>2487.232678063621</v>
      </c>
      <c r="H15" s="117">
        <f>G15*(1+$B$8)</f>
        <v>3376.041201958353</v>
      </c>
      <c r="I15" s="117">
        <f>H15*(1+$B$8)</f>
        <v>4582.463996168542</v>
      </c>
      <c r="J15" s="117">
        <f>I15*(1+$B$8)</f>
        <v>6220</v>
      </c>
    </row>
    <row r="16">
      <c r="A16" s="133" t="inlineStr">
        <is>
          <t>Operating MW — SELECTED SCENARIO</t>
        </is>
      </c>
      <c r="B16" s="134">
        <f>CHOOSE(Assumptions!$C$4,B13,B14,B15)</f>
        <v>698.330508261912</v>
      </c>
      <c r="C16" s="134">
        <f>CHOOSE(Assumptions!$C$4,C13,C14,C15)</f>
        <v>869.9319202192933</v>
      </c>
      <c r="D16" s="134">
        <f>CHOOSE(Assumptions!$C$4,D13,D14,D15)</f>
        <v>1083.7011083763116</v>
      </c>
      <c r="E16" s="134">
        <f>CHOOSE(Assumptions!$C$4,E13,E14,E15)</f>
        <v>1350</v>
      </c>
      <c r="F16" s="134">
        <f>CHOOSE(Assumptions!$C$4,F13,F14,F15)</f>
        <v>1819.270447685938</v>
      </c>
      <c r="G16" s="134">
        <f>CHOOSE(Assumptions!$C$4,G13,G14,G15)</f>
        <v>2451.662934683995</v>
      </c>
      <c r="H16" s="134">
        <f>CHOOSE(Assumptions!$C$4,H13,H14,H15)</f>
        <v>3303.8799442648683</v>
      </c>
      <c r="I16" s="134">
        <f>CHOOSE(Assumptions!$C$4,I13,I14,I15)</f>
        <v>4452.334181706177</v>
      </c>
      <c r="J16" s="134">
        <f>CHOOSE(Assumptions!$C$4,J13,J14,J15)</f>
        <v>6000.000000000002</v>
      </c>
    </row>
    <row r="17">
      <c r="A17" s="97" t="inlineStr">
        <is>
          <t>Cross-check: Mordor capacity basis (IT load capacity or installed capacity, publisher's term)</t>
        </is>
      </c>
      <c r="B17" s="108" t="inlineStr">
        <is>
          <t>n/a</t>
        </is>
      </c>
      <c r="C17" s="108" t="inlineStr">
        <is>
          <t>n/a</t>
        </is>
      </c>
      <c r="D17" s="108" t="inlineStr">
        <is>
          <t>n/a</t>
        </is>
      </c>
      <c r="E17" s="118">
        <f>Assumptions!$E$13</f>
        <v>3530</v>
      </c>
      <c r="F17" s="118">
        <f>E17*(1+Assumptions!$E$14)</f>
        <v>4068.3250000000003</v>
      </c>
      <c r="G17" s="118">
        <f>F17*(1+Assumptions!$E$14)</f>
        <v>4688.744562500001</v>
      </c>
      <c r="H17" s="118">
        <f>G17*(1+Assumptions!$E$14)</f>
        <v>5403.778108281252</v>
      </c>
      <c r="I17" s="118">
        <f>H17*(1+Assumptions!$E$14)</f>
        <v>6227.854269794143</v>
      </c>
      <c r="J17" s="118">
        <f>I17*(1+Assumptions!$E$14)</f>
        <v>7177.6020459377505</v>
      </c>
    </row>
    <row r="18">
      <c r="A18" s="94" t="inlineStr">
        <is>
          <t>2022–24 are inashanu estimates: geometric interpolation between an implied 2020 operating IT load of 450 MW (Assumptions #35: M3's finding that two-thirds of the 2005→2025 expansion came after 2020) and the sourced 1,350 MW 2025 base. No published Australian operating-IT-load series covers these years.</t>
        </is>
      </c>
    </row>
    <row r="19"/>
    <row r="20">
      <c r="A20" s="93" t="inlineStr">
        <is>
          <t>B. Cross-check — top-down vs bottom-up 2030E operational MW</t>
        </is>
      </c>
      <c r="B20" s="93" t="n"/>
      <c r="C20" s="93" t="n"/>
      <c r="D20" s="93" t="n"/>
      <c r="E20" s="93" t="n"/>
      <c r="F20" s="93" t="n"/>
      <c r="G20" s="93" t="n"/>
      <c r="H20" s="93" t="n"/>
      <c r="I20" s="93" t="n"/>
      <c r="J20" s="93" t="n"/>
    </row>
    <row r="21">
      <c r="A21" s="95" t="inlineStr">
        <is>
          <t>Measure</t>
        </is>
      </c>
      <c r="B21" s="95" t="inlineStr">
        <is>
          <t>MW</t>
        </is>
      </c>
      <c r="C21" s="95" t="inlineStr">
        <is>
          <t>Basis / source</t>
        </is>
      </c>
    </row>
    <row r="22">
      <c r="A22" s="97" t="inlineStr">
        <is>
          <t>Top-down 2030E (selected scenario)</t>
        </is>
      </c>
      <c r="B22" s="117">
        <f>J16</f>
        <v>6000.000000000002</v>
      </c>
      <c r="C22" s="109" t="inlineStr">
        <is>
          <t>Section A scenario engine</t>
        </is>
      </c>
    </row>
    <row r="23">
      <c r="A23" s="97" t="inlineStr">
        <is>
          <t>Bottom-up: operating base, 2025</t>
        </is>
      </c>
      <c r="B23" s="117">
        <f>E16</f>
        <v>1350</v>
      </c>
      <c r="C23" s="109" t="inlineStr">
        <is>
          <t>S-08; S-09 (CBRE 1.3–1.5 GW; ITK ~1.35 GW)</t>
        </is>
      </c>
    </row>
    <row r="24">
      <c r="A24" s="97" t="inlineStr">
        <is>
          <t>Bottom-up: under-construction MW delivering by 2030</t>
        </is>
      </c>
      <c r="B24" s="118">
        <f>Metro_Capacity!$B$44*CHOOSE(Assumptions!$C$4,Assumptions!$D$17,Assumptions!$E$17,Assumptions!$E$44)*Assumptions!$E$47</f>
        <v>1564.68</v>
      </c>
      <c r="C24" s="109" t="inlineStr">
        <is>
          <t>Metro_Capacity project SUMIFS × UC delivery factor: Assumptions #11 low / base for bear and base, Assumptions #38 for bull, carried onto the operating basis by the declared conversion at Assumptions #41</t>
        </is>
      </c>
    </row>
    <row r="25">
      <c r="A25" s="97" t="inlineStr">
        <is>
          <t>Bottom-up: planned MW delivering by 2030</t>
        </is>
      </c>
      <c r="B25" s="118">
        <f>(Metro_Capacity!$B$45+Metro_Capacity!$B$48*CHOOSE(Assumptions!$C$4,0,0,1))*CHOOSE(Assumptions!$C$4,Assumptions!$E$15,Assumptions!$E$15,Assumptions!$E$45)*Assumptions!$E$47</f>
        <v>1473</v>
      </c>
      <c r="C25" s="109" t="inlineStr">
        <is>
          <t>Metro_Capacity project SUMIFS × 25% fully-deliverable (S-11) for bear and base. The bull adds the Firmus Southgate 2028 target balance to the pool and converts it at Assumptions #39. Both then cross to the operating basis at Assumptions #41.</t>
        </is>
      </c>
    </row>
    <row r="26">
      <c r="A26" s="97" t="inlineStr">
        <is>
          <t>Bottom-up 2030E total</t>
        </is>
      </c>
      <c r="B26" s="116">
        <f>B23+B24+B25</f>
        <v>4387.68</v>
      </c>
      <c r="C26" s="109" t="inlineStr">
        <is>
          <t>Sum: operating base + UC delivery + planned delivery</t>
        </is>
      </c>
    </row>
    <row r="27">
      <c r="A27" s="97" t="inlineStr">
        <is>
          <t>Gap: top-down − bottom-up</t>
        </is>
      </c>
      <c r="B27" s="116">
        <f>B22-B26</f>
        <v>1612.3200000000015</v>
      </c>
      <c r="C27" s="109" t="inlineStr">
        <is>
          <t>Positive gap ⇒ scenario implies delivery beyond currently-visible pipeline (or faster conversion); negative ⇒ pipeline overshoots scenario.</t>
        </is>
      </c>
    </row>
    <row r="28"/>
    <row r="29">
      <c r="A29" s="93" t="inlineStr">
        <is>
          <t>C. Revenue build — core services revenue (published basis) and the wholesale-inclusive upper bound (A$bn)</t>
        </is>
      </c>
      <c r="B29" s="93" t="n"/>
      <c r="C29" s="93" t="n"/>
      <c r="D29" s="93" t="n"/>
      <c r="E29" s="93" t="n"/>
      <c r="F29" s="93" t="n"/>
      <c r="G29" s="93" t="n"/>
      <c r="H29" s="93" t="n"/>
      <c r="I29" s="93" t="n"/>
      <c r="J29" s="93" t="n"/>
    </row>
    <row r="30">
      <c r="A30" s="95" t="inlineStr">
        <is>
          <t>Metric</t>
        </is>
      </c>
      <c r="B30" s="132" t="n">
        <v>2022</v>
      </c>
      <c r="C30" s="132" t="n">
        <v>2023</v>
      </c>
      <c r="D30" s="132" t="n">
        <v>2024</v>
      </c>
      <c r="E30" s="132" t="n">
        <v>2025</v>
      </c>
      <c r="F30" s="132" t="n">
        <v>2026</v>
      </c>
      <c r="G30" s="132" t="n">
        <v>2027</v>
      </c>
      <c r="H30" s="132" t="n">
        <v>2028</v>
      </c>
      <c r="I30" s="132" t="n">
        <v>2029</v>
      </c>
      <c r="J30" s="132" t="n">
        <v>2030</v>
      </c>
    </row>
    <row r="31">
      <c r="A31" s="97" t="inlineStr">
        <is>
          <t>Core services revenue — Bear (A$bn)</t>
        </is>
      </c>
      <c r="B31" s="104" t="inlineStr"/>
      <c r="C31" s="104" t="inlineStr"/>
      <c r="D31" s="104" t="inlineStr"/>
      <c r="E31" s="104" t="inlineStr"/>
      <c r="F31" s="135">
        <f>Assumptions!$E$42</f>
        <v>5.6</v>
      </c>
      <c r="G31" s="135">
        <f>F31*(1+Assumptions!$D$43)</f>
        <v>6.048</v>
      </c>
      <c r="H31" s="135">
        <f>G31*(1+Assumptions!$D$43)</f>
        <v>6.531840000000001</v>
      </c>
      <c r="I31" s="135">
        <f>H31*(1+Assumptions!$D$43)</f>
        <v>7.054387200000002</v>
      </c>
      <c r="J31" s="135">
        <f>I31*(1+Assumptions!$D$43)</f>
        <v>7.618738176000003</v>
      </c>
    </row>
    <row r="32">
      <c r="A32" s="97" t="inlineStr">
        <is>
          <t>Core services revenue — Base (A$bn)</t>
        </is>
      </c>
      <c r="B32" s="104" t="inlineStr"/>
      <c r="C32" s="104" t="inlineStr"/>
      <c r="D32" s="104" t="inlineStr"/>
      <c r="E32" s="104" t="inlineStr"/>
      <c r="F32" s="135">
        <f>Assumptions!$E$42</f>
        <v>5.6</v>
      </c>
      <c r="G32" s="135">
        <f>F32*(1+Assumptions!$E$43)</f>
        <v>6.272</v>
      </c>
      <c r="H32" s="135">
        <f>G32*(1+Assumptions!$E$43)</f>
        <v>7.024640000000001</v>
      </c>
      <c r="I32" s="135">
        <f>H32*(1+Assumptions!$E$43)</f>
        <v>7.867596800000001</v>
      </c>
      <c r="J32" s="135">
        <f>I32*(1+Assumptions!$E$43)</f>
        <v>8.811708416000002</v>
      </c>
    </row>
    <row r="33">
      <c r="A33" s="97" t="inlineStr">
        <is>
          <t>Core services revenue — Bull (A$bn)</t>
        </is>
      </c>
      <c r="B33" s="104" t="inlineStr"/>
      <c r="C33" s="104" t="inlineStr"/>
      <c r="D33" s="104" t="inlineStr"/>
      <c r="E33" s="104" t="inlineStr"/>
      <c r="F33" s="135">
        <f>Assumptions!$E$42</f>
        <v>5.6</v>
      </c>
      <c r="G33" s="135">
        <f>F33*(1+Assumptions!$F$43)</f>
        <v>6.4959999999999996</v>
      </c>
      <c r="H33" s="135">
        <f>G33*(1+Assumptions!$F$43)</f>
        <v>7.535359999999999</v>
      </c>
      <c r="I33" s="135">
        <f>H33*(1+Assumptions!$F$43)</f>
        <v>8.741017599999998</v>
      </c>
      <c r="J33" s="135">
        <f>I33*(1+Assumptions!$F$43)</f>
        <v>10.139580415999996</v>
      </c>
    </row>
    <row r="34">
      <c r="A34" s="133" t="inlineStr">
        <is>
          <t>Core services revenue — SELECTED SCENARIO (A$bn) — PUBLISHED SERIES</t>
        </is>
      </c>
      <c r="B34" s="131" t="inlineStr"/>
      <c r="C34" s="131" t="inlineStr"/>
      <c r="D34" s="131" t="inlineStr"/>
      <c r="E34" s="131" t="inlineStr"/>
      <c r="F34" s="136">
        <f>CHOOSE(Assumptions!$C$4,F31,F32,F33)</f>
        <v>5.6</v>
      </c>
      <c r="G34" s="136">
        <f>CHOOSE(Assumptions!$C$4,G31,G32,G33)</f>
        <v>6.272</v>
      </c>
      <c r="H34" s="136">
        <f>CHOOSE(Assumptions!$C$4,H31,H32,H33)</f>
        <v>7.024640000000001</v>
      </c>
      <c r="I34" s="136">
        <f>CHOOSE(Assumptions!$C$4,I31,I32,I33)</f>
        <v>7.867596800000001</v>
      </c>
      <c r="J34" s="136">
        <f>CHOOSE(Assumptions!$C$4,J31,J32,J33)</f>
        <v>8.811708416000002</v>
      </c>
    </row>
    <row r="35">
      <c r="A35" s="97" t="inlineStr">
        <is>
          <t>Cross-check: IBISWorld J5921 alone, at its own 7.6% CAGR</t>
        </is>
      </c>
      <c r="B35" s="104" t="inlineStr"/>
      <c r="C35" s="104" t="inlineStr"/>
      <c r="D35" s="135">
        <f>Assumptions!$E$18</f>
        <v>3.2</v>
      </c>
      <c r="E35" s="135">
        <f>Assumptions!$E$19</f>
        <v>3.5</v>
      </c>
      <c r="F35" s="135">
        <f>Assumptions!$E$20</f>
        <v>4.1</v>
      </c>
      <c r="G35" s="135">
        <f>F35*(1+Assumptions!$E$21)</f>
        <v>4.4116</v>
      </c>
      <c r="H35" s="135">
        <f>G35*(1+Assumptions!$E$21)</f>
        <v>4.7468816</v>
      </c>
      <c r="I35" s="135">
        <f>H35*(1+Assumptions!$E$21)</f>
        <v>5.1076446016000006</v>
      </c>
      <c r="J35" s="135">
        <f>I35*(1+Assumptions!$E$21)</f>
        <v>5.4958255913216005</v>
      </c>
    </row>
    <row r="36">
      <c r="A36" s="97" t="inlineStr">
        <is>
          <t>Colocation revenue per MW (A$m / MW / yr)</t>
        </is>
      </c>
      <c r="B36" s="135">
        <f>Assumptions!$G$27*1000*12/1000000/Assumptions!$E$26</f>
        <v>3.227272727272727</v>
      </c>
      <c r="C36" s="135">
        <f>Assumptions!$G$27*1000*12/1000000/Assumptions!$E$26</f>
        <v>3.227272727272727</v>
      </c>
      <c r="D36" s="135">
        <f>Assumptions!$G$27*1000*12/1000000/Assumptions!$E$26</f>
        <v>3.227272727272727</v>
      </c>
      <c r="E36" s="135">
        <f>Assumptions!$G$27*1000*12/1000000/Assumptions!$E$26</f>
        <v>3.227272727272727</v>
      </c>
      <c r="F36" s="135">
        <f>Assumptions!$G$27*1000*12/1000000/Assumptions!$E$26</f>
        <v>3.227272727272727</v>
      </c>
      <c r="G36" s="135">
        <f>Assumptions!$G$27*1000*12/1000000/Assumptions!$E$26</f>
        <v>3.227272727272727</v>
      </c>
      <c r="H36" s="135">
        <f>Assumptions!$G$27*1000*12/1000000/Assumptions!$E$26</f>
        <v>3.227272727272727</v>
      </c>
      <c r="I36" s="135">
        <f>Assumptions!$G$27*1000*12/1000000/Assumptions!$E$26</f>
        <v>3.227272727272727</v>
      </c>
      <c r="J36" s="135">
        <f>Assumptions!$G$27*1000*12/1000000/Assumptions!$E$26</f>
        <v>3.227272727272727</v>
      </c>
    </row>
    <row r="37">
      <c r="A37" s="97" t="inlineStr">
        <is>
          <t>Upper bound: operating MW × revenue per MW (wholesale-inclusive lens, A$bn)</t>
        </is>
      </c>
      <c r="B37" s="124">
        <f>B16*B36/1000</f>
        <v>2.2537030039361703</v>
      </c>
      <c r="C37" s="124">
        <f>C16*C36/1000</f>
        <v>2.8075075607077187</v>
      </c>
      <c r="D37" s="124">
        <f>D16*D36/1000</f>
        <v>3.4973990315780963</v>
      </c>
      <c r="E37" s="124">
        <f>E16*E36/1000</f>
        <v>4.356818181818182</v>
      </c>
      <c r="F37" s="124">
        <f>F16*F36/1000</f>
        <v>5.871281899350072</v>
      </c>
      <c r="G37" s="124">
        <f>G16*G36/1000</f>
        <v>7.912184925571074</v>
      </c>
      <c r="H37" s="124">
        <f>H16*H36/1000</f>
        <v>10.662521638309347</v>
      </c>
      <c r="I37" s="124">
        <f>I16*I36/1000</f>
        <v>14.36889667732448</v>
      </c>
      <c r="J37" s="127">
        <f>J16*J36/1000</f>
        <v>19.363636363636367</v>
      </c>
    </row>
    <row r="38">
      <c r="A38" s="97" t="inlineStr">
        <is>
          <t>Memo: upper bound ÷ published core services revenue (x)</t>
        </is>
      </c>
      <c r="B38" s="104" t="inlineStr"/>
      <c r="C38" s="104" t="inlineStr"/>
      <c r="D38" s="104" t="inlineStr"/>
      <c r="E38" s="104" t="inlineStr"/>
      <c r="F38" s="129">
        <f>F37/F34</f>
        <v>1.048443196312513</v>
      </c>
      <c r="G38" s="129">
        <f>G37/G34</f>
        <v>1.2615090761433472</v>
      </c>
      <c r="H38" s="129">
        <f>H37/H34</f>
        <v>1.5178744588063369</v>
      </c>
      <c r="I38" s="129">
        <f>I37/I34</f>
        <v>1.8263387210341635</v>
      </c>
      <c r="J38" s="137">
        <f>J37/J34</f>
        <v>2.197489459419303</v>
      </c>
    </row>
    <row r="39">
      <c r="A39" s="97" t="inlineStr">
        <is>
          <t>Memo: ResearchAndMarkets 2025 market, converted at FX assumption</t>
        </is>
      </c>
      <c r="B39" s="135">
        <f>Assumptions!$E$24/Assumptions!$E$26</f>
        <v>6.393939393939394</v>
      </c>
      <c r="C39" s="94" t="inlineStr">
        <is>
          <t>US$4.22bn ÷ FX (S-04; scope differs — revenue basis)</t>
        </is>
      </c>
    </row>
    <row r="40">
      <c r="A40" s="94" t="inlineStr">
        <is>
          <t>One published basis. The core services series is IBISWorld ANZSIC J5921 plus OD5323, grown at the scenario growth rate in Assumptions #37. Those classes measure hosting and data-processing services revenue and do NOT capture hyperscale wholesale leasing, which AirTrunk, CDC and Goodman book as rent, so the series is a stated-scope floor rather than a total market.</t>
        </is>
      </c>
    </row>
    <row r="41">
      <c r="A41" s="94" t="inlineStr">
        <is>
          <t>The upper-bound lens applies CBRE Sydney 250–500 kW pricing (Q1 2025, held flat) to every operating MW. That is a retail price on a base that is mostly wholesale, so it is a ceiling. The gap between the two lines, shown as a multiple, is the measure of what the ANZSIC scope leaves out; it is roughly 2.2x by 2030. CDC's disclosure corroborates the ceiling: A$2bn of contracted EBITDA per GW at a ~60% asset margin implies about A$3.3bn of revenue per GW, or about A$20bn across a 6 GW base.</t>
        </is>
      </c>
    </row>
    <row r="42">
      <c r="A42" s="94" t="inlineStr">
        <is>
          <t>The billing-to-contracted conversion of 45.3% (Assumptions #24) is no longer applied to operating MW. Operating MW are commissioned; applying a contracted-to-billing lag to them discounts the same capacity twice. The ratio is retained as a disclosed sector statistic and belongs on contracted MW.</t>
        </is>
      </c>
    </row>
    <row r="43"/>
    <row r="44">
      <c r="A44" s="93" t="inlineStr">
        <is>
          <t>D. Cross-check — revenue per MW against the CDC contracted EBITDA anchor</t>
        </is>
      </c>
      <c r="B44" s="93" t="n"/>
      <c r="C44" s="93" t="n"/>
      <c r="D44" s="93" t="n"/>
      <c r="E44" s="93" t="n"/>
      <c r="F44" s="93" t="n"/>
      <c r="G44" s="93" t="n"/>
      <c r="H44" s="93" t="n"/>
      <c r="I44" s="93" t="n"/>
      <c r="J44" s="93" t="n"/>
    </row>
    <row r="45">
      <c r="A45" s="95" t="inlineStr">
        <is>
          <t>Test</t>
        </is>
      </c>
      <c r="B45" s="95" t="inlineStr">
        <is>
          <t>Value</t>
        </is>
      </c>
      <c r="C45" s="95" t="inlineStr">
        <is>
          <t>Unit</t>
        </is>
      </c>
      <c r="D45" s="95" t="inlineStr">
        <is>
          <t>Basis / source</t>
        </is>
      </c>
    </row>
    <row r="46">
      <c r="A46" s="96" t="inlineStr">
        <is>
          <t>Colocation revenue per MW per year</t>
        </is>
      </c>
      <c r="B46" s="127">
        <f>J36</f>
        <v>3.227272727272727</v>
      </c>
      <c r="C46" s="108" t="inlineStr">
        <is>
          <t>A$m/MW/yr</t>
        </is>
      </c>
      <c r="D46" s="109" t="inlineStr">
        <is>
          <t>CBRE Sydney 250–500 kW midpoint US$177.5/kW/mo at FX 0.66 (S-07; Q1 2025)</t>
        </is>
      </c>
    </row>
    <row r="47">
      <c r="A47" s="96" t="inlineStr">
        <is>
          <t>CDC contracted EBITDA per MW deployed</t>
        </is>
      </c>
      <c r="B47" s="135">
        <f>Assumptions!$E$32</f>
        <v>2</v>
      </c>
      <c r="C47" s="108" t="inlineStr">
        <is>
          <t>A$m/MW/yr</t>
        </is>
      </c>
      <c r="D47" s="109" t="inlineStr">
        <is>
          <t>1 GW deployed ≈ A$2bn annualised contracted EBITDA (S-27; 6 May 2026)</t>
        </is>
      </c>
    </row>
    <row r="48">
      <c r="A48" s="96" t="inlineStr">
        <is>
          <t>Implied asset-level EBITDA margin</t>
        </is>
      </c>
      <c r="B48" s="122">
        <f>B47/B46</f>
        <v>0.619718309859155</v>
      </c>
      <c r="C48" s="108" t="inlineStr">
        <is>
          <t>%</t>
        </is>
      </c>
      <c r="D48" s="109" t="inlineStr">
        <is>
          <t>EBITDA per MW ÷ revenue per MW — both on a deployed-MW denominator</t>
        </is>
      </c>
    </row>
    <row r="49">
      <c r="A49" s="96" t="inlineStr">
        <is>
          <t>Comparator: NEXTDC FY26 EBITDA margin on net revenue</t>
        </is>
      </c>
      <c r="B49" s="130">
        <f>Unit_Economics!$C$32</f>
        <v>0.614320987654321</v>
      </c>
      <c r="C49" s="108" t="inlineStr">
        <is>
          <t>%</t>
        </is>
      </c>
      <c r="D49" s="109" t="inlineStr">
        <is>
          <t>A$248.8m underlying EBITDA on A$405.0m net revenue (S-22; S-23)</t>
        </is>
      </c>
    </row>
    <row r="50">
      <c r="A50" s="96" t="inlineStr">
        <is>
          <t>Test 1 — revenue per MW exceeds EBITDA per MW</t>
        </is>
      </c>
      <c r="B50" s="100" t="str">
        <f>IF(B46&gt;B47,"PASS","FAIL")</f>
        <v>PASS</v>
      </c>
      <c r="C50" s="138" t="inlineStr"/>
      <c r="D50" s="109" t="inlineStr">
        <is>
          <t>The stated rule: revenue must exceed EBITDA on the same denominator</t>
        </is>
      </c>
    </row>
    <row r="51">
      <c r="A51" s="96" t="inlineStr">
        <is>
          <t>Test 2 — implied margin within the 45%–70% band set by the listed comparator</t>
        </is>
      </c>
      <c r="B51" s="100" t="str">
        <f>IF(AND(B48&gt;=0.45,B48&lt;=0.7),"PASS","FAIL")</f>
        <v>PASS</v>
      </c>
      <c r="C51" s="138" t="inlineStr"/>
      <c r="D51" s="109" t="inlineStr">
        <is>
          <t>NEXTDC reports ~50% on total revenue and ~61% on net revenue; the band brackets both</t>
        </is>
      </c>
    </row>
    <row r="52">
      <c r="A52" s="131" t="inlineStr">
        <is>
          <t>CROSS-CHECK RESULT</t>
        </is>
      </c>
      <c r="B52" s="131" t="str">
        <f>IF(AND(B50="PASS",B51="PASS"),"PASS","FAIL")</f>
        <v>PASS</v>
      </c>
      <c r="C52" s="138" t="inlineStr"/>
      <c r="D52" s="109" t="inlineStr">
        <is>
          <t>Both tests must pass before the revenue build is published</t>
        </is>
      </c>
    </row>
    <row r="53"/>
    <row r="54">
      <c r="A54" s="94" t="inlineStr">
        <is>
          <t>Why the earlier form of this check failed. Dividing the core services revenue total by every operating MW mixes a stated-scope numerator with a whole-of-market denominator and produced A$1.35m per MW against a A$2.0m per MW EBITDA anchor, which breaks the rule it states. The test above puts revenue and EBITDA on the same deployed-MW denominator and reads the residual as a margin, which is a quantity that can be compared with a filed number.</t>
        </is>
      </c>
    </row>
    <row r="55"/>
    <row r="56">
      <c r="A56" s="93" t="inlineStr">
        <is>
          <t>E. Mordor's capacity series — carried, flagged, and never blended</t>
        </is>
      </c>
      <c r="B56" s="93" t="n"/>
      <c r="C56" s="93" t="n"/>
      <c r="D56" s="93" t="n"/>
      <c r="E56" s="93" t="n"/>
      <c r="F56" s="93" t="n"/>
      <c r="G56" s="93" t="n"/>
      <c r="H56" s="93" t="n"/>
      <c r="I56" s="93" t="n"/>
      <c r="J56" s="93" t="n"/>
    </row>
    <row r="57">
      <c r="A57" s="95" t="inlineStr">
        <is>
          <t>Measure</t>
        </is>
      </c>
      <c r="B57" s="95" t="inlineStr">
        <is>
          <t>Value</t>
        </is>
      </c>
      <c r="C57" s="95" t="inlineStr">
        <is>
          <t>Unit</t>
        </is>
      </c>
      <c r="D57" s="95" t="inlineStr">
        <is>
          <t>Basis</t>
        </is>
      </c>
    </row>
    <row r="58">
      <c r="A58" s="97" t="inlineStr">
        <is>
          <t>Mordor capacity basis, 2025</t>
        </is>
      </c>
      <c r="B58" s="118">
        <f>Assumptions!$E$13</f>
        <v>3530</v>
      </c>
      <c r="C58" s="108" t="inlineStr">
        <is>
          <t>MW</t>
        </is>
      </c>
      <c r="D58" s="139" t="str">
        <f>Assumptions!$K$13</f>
        <v>MW - Mordor capacity basis</v>
      </c>
    </row>
    <row r="59">
      <c r="A59" s="97" t="inlineStr">
        <is>
          <t>Mordor capacity basis, 2030</t>
        </is>
      </c>
      <c r="B59" s="117">
        <f>J17</f>
        <v>7177.6020459377505</v>
      </c>
      <c r="C59" s="108" t="inlineStr">
        <is>
          <t>MW</t>
        </is>
      </c>
      <c r="D59" s="139" t="str">
        <f>Assumptions!$K$13</f>
        <v>MW - Mordor capacity basis</v>
      </c>
    </row>
    <row r="60">
      <c r="A60" s="97" t="inlineStr">
        <is>
          <t>Operating IT load as a share of the Mordor capacity basis, 2025</t>
        </is>
      </c>
      <c r="B60" s="130">
        <f>Assumptions!$E$7/Assumptions!$E$13</f>
        <v>0.38243626062322944</v>
      </c>
      <c r="C60" s="108" t="inlineStr">
        <is>
          <t>%</t>
        </is>
      </c>
      <c r="D60" s="110" t="inlineStr">
        <is>
          <t>ratio - operating IT load over Mordor capacity basis, same year</t>
        </is>
      </c>
    </row>
    <row r="61">
      <c r="A61" s="97" t="inlineStr">
        <is>
          <t>Memo: Mordor's 2030 figure restated at that ratio</t>
        </is>
      </c>
      <c r="B61" s="116">
        <f>J17*$B$60</f>
        <v>2744.9752866900744</v>
      </c>
      <c r="C61" s="108" t="inlineStr">
        <is>
          <t>MW</t>
        </is>
      </c>
      <c r="D61" s="139" t="str">
        <f>Assumptions!$K$7</f>
        <v>MW - operating IT load (national)</v>
      </c>
    </row>
    <row r="62">
      <c r="A62" s="94" t="inlineStr">
        <is>
          <t>Mordor Intelligence, January 2026 (S-05), publishes: "In terms of IT load capacity, the market is expected to grow from 3.53 thousand megawatt in 2025 to 7.18 thousand megawatt by 2030, at a CAGR of 15.25% during the forecast period (2025-2030)." The opening clause names the basis and travels with the rest of the sentence wherever the figure is quoted. The same publisher defines that basis in a sentence of its own: "The IT load capacity or installed capacity, refers to the amount of energy consumed by servers and network equipments placed in a rack installed." That is the energy drawn by servers and network equipment in an installed rack, and it excludes facility overhead; a rack installed need not yet be drawing load. This model's operating IT load counts only capacity in service, which is why the two 2025 values differ.</t>
        </is>
      </c>
    </row>
    <row r="63">
      <c r="A63" s="94" t="inlineStr">
        <is>
          <t>The ratio row is 1,350 ÷ 3,530: the distance between the two definitions in the one year where both publish a value. It is a disclosure and nothing reads it. Scaling a series by a constant leaves its growth rate untouched, so the restated memo still grows at Mordor's 15.25% and lands below the bear case. That is the size of the error in reading 7,180 MW as a bull target on this model's basis, and it is why Assumptions #4 is now built from the pipeline instead.</t>
        </is>
      </c>
    </row>
  </sheetData>
  <printOptions horizontalCentered="0"/>
  <pageMargins left="0.4" right="0.4" top="0.5" bottom="0.5" header="0.5" footer="0.5"/>
  <pageSetup orientation="landscape" fitToHeight="0" fitToWidth="1"/>
</worksheet>
</file>

<file path=xl/worksheets/sheet6.xml><?xml version="1.0" encoding="utf-8"?>
<worksheet xmlns="http://schemas.openxmlformats.org/spreadsheetml/2006/main">
  <sheetPr>
    <tabColor rgb="003D4E68"/>
    <outlinePr summaryBelow="1" summaryRight="1"/>
    <pageSetUpPr fitToPage="1"/>
  </sheetPr>
  <dimension ref="A1:I71"/>
  <sheetViews>
    <sheetView showGridLines="0" workbookViewId="0">
      <pane xSplit="1" ySplit="4" topLeftCell="B5" activePane="bottomRight" state="frozen"/>
      <selection pane="topRight" activeCell="A1" sqref="A1"/>
      <selection pane="bottomLeft" activeCell="A1" sqref="A1"/>
      <selection pane="bottomRight" activeCell="A1" sqref="A1"/>
    </sheetView>
  </sheetViews>
  <sheetFormatPr baseColWidth="8" defaultRowHeight="15"/>
  <cols>
    <col width="40" customWidth="1" min="1" max="1"/>
    <col width="17" customWidth="1" min="2" max="2"/>
    <col width="22" customWidth="1" min="3" max="3"/>
    <col width="14" customWidth="1" min="4" max="4"/>
    <col width="30" customWidth="1" min="5" max="5"/>
    <col width="20" customWidth="1" min="6" max="6"/>
    <col width="42" customWidth="1" min="7" max="7"/>
    <col width="20" customWidth="1" min="8" max="8"/>
    <col width="12" customWidth="1" min="9" max="9"/>
  </cols>
  <sheetData>
    <row r="1">
      <c r="A1" s="91" t="inlineStr">
        <is>
          <t>Capacity by Metro: Operating, Under Construction, Planned</t>
        </is>
      </c>
      <c r="B1" s="91" t="n"/>
      <c r="C1" s="91" t="n"/>
      <c r="D1" s="91" t="n"/>
      <c r="E1" s="91" t="n"/>
      <c r="F1" s="91" t="n"/>
      <c r="G1" s="91" t="n"/>
      <c r="H1" s="91" t="n"/>
      <c r="I1" s="91" t="n"/>
    </row>
    <row r="2">
      <c r="A2" s="92" t="inlineStr">
        <is>
          <t>Operating build from sourced Sydney share + anchored estimates; pipeline bottom-up from dossier §6.1 major projects table.</t>
        </is>
      </c>
      <c r="B2" s="92" t="n"/>
      <c r="C2" s="92" t="n"/>
      <c r="D2" s="92" t="n"/>
      <c r="E2" s="92" t="n"/>
      <c r="F2" s="92" t="n"/>
      <c r="G2" s="92" t="n"/>
      <c r="H2" s="92" t="n"/>
      <c r="I2" s="92" t="n"/>
    </row>
    <row r="3"/>
    <row r="4">
      <c r="A4" s="93" t="inlineStr">
        <is>
          <t>A. Operating capacity by metro (2025)</t>
        </is>
      </c>
      <c r="B4" s="93" t="n"/>
      <c r="C4" s="93" t="n"/>
      <c r="D4" s="93" t="n"/>
      <c r="E4" s="93" t="n"/>
      <c r="F4" s="93" t="n"/>
      <c r="G4" s="93" t="n"/>
      <c r="H4" s="93" t="n"/>
      <c r="I4" s="93" t="n"/>
    </row>
    <row r="5">
      <c r="A5" s="95" t="inlineStr">
        <is>
          <t>Metro</t>
        </is>
      </c>
      <c r="B5" s="95" t="inlineStr">
        <is>
          <t>Share of operating MW</t>
        </is>
      </c>
      <c r="C5" s="95" t="inlineStr">
        <is>
          <t>Operating MW</t>
        </is>
      </c>
      <c r="D5" s="95" t="inlineStr">
        <is>
          <t>Type</t>
        </is>
      </c>
      <c r="E5" s="95" t="inlineStr">
        <is>
          <t>Source #</t>
        </is>
      </c>
    </row>
    <row r="6">
      <c r="A6" s="96" t="inlineStr">
        <is>
          <t>Sydney</t>
        </is>
      </c>
      <c r="B6" s="130">
        <f>Assumptions!$E$34</f>
        <v>0.6</v>
      </c>
      <c r="C6" s="140">
        <f>B6*Assumptions!$G$7</f>
        <v>810</v>
      </c>
      <c r="D6" s="96" t="inlineStr">
        <is>
          <t>Source</t>
        </is>
      </c>
      <c r="E6" s="96" t="inlineStr">
        <is>
          <t>S-03; S-14</t>
        </is>
      </c>
    </row>
    <row r="7">
      <c r="A7" s="96" t="inlineStr">
        <is>
          <t>Melbourne</t>
        </is>
      </c>
      <c r="B7" s="130">
        <f>Assumptions!$E$35</f>
        <v>0.25</v>
      </c>
      <c r="C7" s="140">
        <f>B7*Assumptions!$G$7</f>
        <v>337.5</v>
      </c>
      <c r="D7" s="96" t="inlineStr">
        <is>
          <t>Assumption</t>
        </is>
      </c>
      <c r="E7" s="96" t="inlineStr">
        <is>
          <t>S-03 anchor</t>
        </is>
      </c>
    </row>
    <row r="8">
      <c r="A8" s="96" t="inlineStr">
        <is>
          <t>Brisbane</t>
        </is>
      </c>
      <c r="B8" s="130">
        <f>Assumptions!$E$36</f>
        <v>0.06</v>
      </c>
      <c r="C8" s="140">
        <f>B8*Assumptions!$G$7</f>
        <v>81</v>
      </c>
      <c r="D8" s="96" t="inlineStr">
        <is>
          <t>Assumption</t>
        </is>
      </c>
      <c r="E8" s="96" t="inlineStr">
        <is>
          <t>S-03 anchor</t>
        </is>
      </c>
    </row>
    <row r="9">
      <c r="A9" s="96" t="inlineStr">
        <is>
          <t>Perth</t>
        </is>
      </c>
      <c r="B9" s="130">
        <f>Assumptions!$E$37</f>
        <v>0.05</v>
      </c>
      <c r="C9" s="140">
        <f>B9*Assumptions!$G$7</f>
        <v>67.5</v>
      </c>
      <c r="D9" s="96" t="inlineStr">
        <is>
          <t>Assumption</t>
        </is>
      </c>
      <c r="E9" s="96" t="inlineStr">
        <is>
          <t>S-03 anchor</t>
        </is>
      </c>
    </row>
    <row r="10">
      <c r="A10" s="96" t="inlineStr">
        <is>
          <t>Canberra</t>
        </is>
      </c>
      <c r="B10" s="130">
        <f>Assumptions!$E$38</f>
        <v>0.02</v>
      </c>
      <c r="C10" s="140">
        <f>B10*Assumptions!$G$7</f>
        <v>27</v>
      </c>
      <c r="D10" s="96" t="inlineStr">
        <is>
          <t>Assumption</t>
        </is>
      </c>
      <c r="E10" s="96" t="inlineStr">
        <is>
          <t>S-03 anchor</t>
        </is>
      </c>
    </row>
    <row r="11">
      <c r="A11" s="96" t="inlineStr">
        <is>
          <t>Adelaide</t>
        </is>
      </c>
      <c r="B11" s="130">
        <f>Assumptions!$E$39</f>
        <v>0.01</v>
      </c>
      <c r="C11" s="140">
        <f>B11*Assumptions!$G$7</f>
        <v>13.5</v>
      </c>
      <c r="D11" s="96" t="inlineStr">
        <is>
          <t>Assumption</t>
        </is>
      </c>
      <c r="E11" s="96" t="inlineStr">
        <is>
          <t>S-03 anchor</t>
        </is>
      </c>
    </row>
    <row r="12">
      <c r="A12" s="96" t="inlineStr">
        <is>
          <t>Other / regional</t>
        </is>
      </c>
      <c r="B12" s="130">
        <f>Assumptions!$E$40</f>
        <v>0.010000000000000009</v>
      </c>
      <c r="C12" s="140">
        <f>B12*Assumptions!$G$7</f>
        <v>13.500000000000012</v>
      </c>
      <c r="D12" s="96" t="inlineStr">
        <is>
          <t>Formula (balancing)</t>
        </is>
      </c>
      <c r="E12" s="108" t="inlineStr">
        <is>
          <t>—</t>
        </is>
      </c>
    </row>
    <row r="13">
      <c r="A13" s="131" t="inlineStr">
        <is>
          <t>TOTAL (check = 100%)</t>
        </is>
      </c>
      <c r="B13" s="141">
        <f>SUM(B6:B12)</f>
        <v>1</v>
      </c>
      <c r="C13" s="142">
        <f>SUM(C6:C12)</f>
        <v>1350</v>
      </c>
      <c r="D13" s="138" t="inlineStr"/>
      <c r="E13" s="138" t="inlineStr"/>
    </row>
    <row r="14">
      <c r="A14" s="94" t="inlineStr">
        <is>
          <t>Sydney's 60% share is sourced (IMARC / ResearchAndMarkets); the remaining split is an inashanu estimate anchored on IMARC 2025 regional revenue shares (ACT&amp;NSW 36.5%, VIC&amp;TAS 24.8%, QLD 16.3%, WA 12.4%, NT&amp;SA 10.0%) — no audited metro split of operational MW exists (dossier data-gap #1).</t>
        </is>
      </c>
    </row>
    <row r="15"/>
    <row r="16">
      <c r="A16" s="93" t="inlineStr">
        <is>
          <t>B. Major project pipeline (dossier §6.1) — bottom-up detail</t>
        </is>
      </c>
      <c r="B16" s="93" t="n"/>
      <c r="C16" s="93" t="n"/>
      <c r="D16" s="93" t="n"/>
      <c r="E16" s="93" t="n"/>
      <c r="F16" s="93" t="n"/>
      <c r="G16" s="93" t="n"/>
      <c r="H16" s="93" t="n"/>
      <c r="I16" s="93" t="n"/>
    </row>
    <row r="17">
      <c r="A17" s="95" t="inlineStr">
        <is>
          <t>#</t>
        </is>
      </c>
      <c r="B17" s="95" t="inlineStr">
        <is>
          <t>Project</t>
        </is>
      </c>
      <c r="C17" s="95" t="inlineStr">
        <is>
          <t>Metro</t>
        </is>
      </c>
      <c r="D17" s="95" t="inlineStr">
        <is>
          <t>MW</t>
        </is>
      </c>
      <c r="E17" s="95" t="inlineStr">
        <is>
          <t>MW basis / flag</t>
        </is>
      </c>
      <c r="F17" s="95" t="inlineStr">
        <is>
          <t>Capex (A$m)</t>
        </is>
      </c>
      <c r="G17" s="95" t="inlineStr">
        <is>
          <t>Status (Sep 2026)</t>
        </is>
      </c>
      <c r="H17" s="95" t="inlineStr">
        <is>
          <t>Class</t>
        </is>
      </c>
      <c r="I17" s="95" t="inlineStr">
        <is>
          <t>Source #</t>
        </is>
      </c>
    </row>
    <row r="18">
      <c r="A18" s="106" t="n">
        <v>1</v>
      </c>
      <c r="B18" s="97" t="inlineStr">
        <is>
          <t>AirTrunk SYD4 (Mamre Rd / Kemps Creek)</t>
        </is>
      </c>
      <c r="C18" s="96" t="inlineStr">
        <is>
          <t>Sydney</t>
        </is>
      </c>
      <c r="D18" s="115" t="n">
        <v>1200</v>
      </c>
      <c r="E18" s="109" t="inlineStr">
        <is>
          <t>up to</t>
        </is>
      </c>
      <c r="F18" s="97" t="inlineStr">
        <is>
          <t>~5,000 est.; land 780</t>
        </is>
      </c>
      <c r="G18" s="97" t="inlineStr">
        <is>
          <t>SSDA exhibited; ~A$4.3bn construction debt sought (Jun 2026)</t>
        </is>
      </c>
      <c r="H18" s="96" t="inlineStr">
        <is>
          <t>Planned / proposed</t>
        </is>
      </c>
      <c r="I18" s="96" t="inlineStr">
        <is>
          <t>S-15; S-46</t>
        </is>
      </c>
    </row>
    <row r="19">
      <c r="A19" s="106" t="n">
        <v>2</v>
      </c>
      <c r="B19" s="97" t="inlineStr">
        <is>
          <t>AirTrunk SYD3 expansion (Huntingwood)</t>
        </is>
      </c>
      <c r="C19" s="96" t="inlineStr">
        <is>
          <t>Sydney</t>
        </is>
      </c>
      <c r="D19" s="115" t="n">
        <v>400</v>
      </c>
      <c r="E19" s="109" t="inlineStr">
        <is>
          <t>AU's largest operating campus</t>
        </is>
      </c>
      <c r="F19" s="111" t="inlineStr">
        <is>
          <t>n/d</t>
        </is>
      </c>
      <c r="G19" s="97" t="inlineStr">
        <is>
          <t>Operating / expanding (~330–400 MW operating)</t>
        </is>
      </c>
      <c r="H19" s="96" t="inlineStr">
        <is>
          <t>Operating / expanding</t>
        </is>
      </c>
      <c r="I19" s="96" t="inlineStr">
        <is>
          <t>S-15</t>
        </is>
      </c>
    </row>
    <row r="20">
      <c r="A20" s="106" t="n">
        <v>3</v>
      </c>
      <c r="B20" s="97" t="inlineStr">
        <is>
          <t>AirTrunk MEL2</t>
        </is>
      </c>
      <c r="C20" s="96" t="inlineStr">
        <is>
          <t>Melbourne</t>
        </is>
      </c>
      <c r="D20" s="115" t="n">
        <v>354</v>
      </c>
      <c r="E20" s="109" t="inlineStr">
        <is>
          <t>354+</t>
        </is>
      </c>
      <c r="F20" s="97" t="inlineStr">
        <is>
          <t>&gt;5,000</t>
        </is>
      </c>
      <c r="G20" s="97" t="inlineStr">
        <is>
          <t>Approved Dec 2024; initial power-on targeted mid-2026</t>
        </is>
      </c>
      <c r="H20" s="96" t="inlineStr">
        <is>
          <t>Under construction</t>
        </is>
      </c>
      <c r="I20" s="96" t="inlineStr">
        <is>
          <t>S-15</t>
        </is>
      </c>
    </row>
    <row r="21">
      <c r="A21" s="106" t="n">
        <v>4</v>
      </c>
      <c r="B21" s="97" t="inlineStr">
        <is>
          <t>NEXTDC S7 (OpenAI MoU)</t>
        </is>
      </c>
      <c r="C21" s="96" t="inlineStr">
        <is>
          <t>Sydney</t>
        </is>
      </c>
      <c r="D21" s="115" t="n">
        <v>612</v>
      </c>
      <c r="E21" s="109" t="inlineStr">
        <is>
          <t>planning docs; 550 announced</t>
        </is>
      </c>
      <c r="F21" s="97" t="inlineStr">
        <is>
          <t>7,000</t>
        </is>
      </c>
      <c r="G21" s="97" t="inlineStr">
        <is>
          <t>SSD assessment; Phase 1 target H2 2027; land A$353m (Oct 2024)</t>
        </is>
      </c>
      <c r="H21" s="96" t="inlineStr">
        <is>
          <t>Planned / proposed</t>
        </is>
      </c>
      <c r="I21" s="96" t="inlineStr">
        <is>
          <t>S-39</t>
        </is>
      </c>
    </row>
    <row r="22">
      <c r="A22" s="106" t="n">
        <v>5</v>
      </c>
      <c r="B22" s="97" t="inlineStr">
        <is>
          <t>NEXTDC S4 (Horsley Park)</t>
        </is>
      </c>
      <c r="C22" s="96" t="inlineStr">
        <is>
          <t>Sydney</t>
        </is>
      </c>
      <c r="D22" s="115" t="n">
        <v>300</v>
      </c>
      <c r="E22" s="109" t="inlineStr">
        <is>
          <t>~300; 250 MW record contract signed</t>
        </is>
      </c>
      <c r="F22" s="111" t="inlineStr">
        <is>
          <t>n/d</t>
        </is>
      </c>
      <c r="G22" s="97" t="inlineStr">
        <is>
          <t>Planning / early works</t>
        </is>
      </c>
      <c r="H22" s="96" t="inlineStr">
        <is>
          <t>Planned / proposed</t>
        </is>
      </c>
      <c r="I22" s="96" t="inlineStr">
        <is>
          <t>S-20</t>
        </is>
      </c>
    </row>
    <row r="23">
      <c r="A23" s="106" t="n">
        <v>6</v>
      </c>
      <c r="B23" s="97" t="inlineStr">
        <is>
          <t>NEXTDC M4 (Fishermans Bend)</t>
        </is>
      </c>
      <c r="C23" s="96" t="inlineStr">
        <is>
          <t>Melbourne</t>
        </is>
      </c>
      <c r="D23" s="108" t="inlineStr">
        <is>
          <t>n/d</t>
        </is>
      </c>
      <c r="E23" s="111" t="inlineStr">
        <is>
          <t>n/d</t>
        </is>
      </c>
      <c r="F23" s="97" t="inlineStr">
        <is>
          <t>2,000</t>
        </is>
      </c>
      <c r="G23" s="97" t="inlineStr">
        <is>
          <t>Committed; liquid-cooled AI factory</t>
        </is>
      </c>
      <c r="H23" s="96" t="inlineStr">
        <is>
          <t>Planned / proposed</t>
        </is>
      </c>
      <c r="I23" s="96" t="inlineStr">
        <is>
          <t>S-15</t>
        </is>
      </c>
    </row>
    <row r="24">
      <c r="A24" s="106" t="n">
        <v>7</v>
      </c>
      <c r="B24" s="97" t="inlineStr">
        <is>
          <t>CDC Marsden Park</t>
        </is>
      </c>
      <c r="C24" s="96" t="inlineStr">
        <is>
          <t>Sydney</t>
        </is>
      </c>
      <c r="D24" s="115" t="n">
        <v>504</v>
      </c>
      <c r="E24" s="109" t="inlineStr">
        <is>
          <t>scalable to ~1,000</t>
        </is>
      </c>
      <c r="F24" s="97" t="inlineStr">
        <is>
          <t>3,100</t>
        </is>
      </c>
      <c r="G24" s="97" t="inlineStr">
        <is>
          <t>SSD approved Nov 2025; &gt;200 MW underway</t>
        </is>
      </c>
      <c r="H24" s="96" t="inlineStr">
        <is>
          <t>Under construction</t>
        </is>
      </c>
      <c r="I24" s="96" t="inlineStr">
        <is>
          <t>S-16</t>
        </is>
      </c>
    </row>
    <row r="25">
      <c r="A25" s="106" t="n">
        <v>8</v>
      </c>
      <c r="B25" s="97" t="inlineStr">
        <is>
          <t>CDC Eastern Creek EC5/EC6</t>
        </is>
      </c>
      <c r="C25" s="96" t="inlineStr">
        <is>
          <t>Sydney</t>
        </is>
      </c>
      <c r="D25" s="115" t="n">
        <v>108</v>
      </c>
      <c r="E25" s="109" t="inlineStr">
        <is>
          <t>IT MW</t>
        </is>
      </c>
      <c r="F25" s="97" t="inlineStr">
        <is>
          <t>1,000</t>
        </is>
      </c>
      <c r="G25" s="97" t="inlineStr">
        <is>
          <t>Under construction</t>
        </is>
      </c>
      <c r="H25" s="96" t="inlineStr">
        <is>
          <t>Under construction</t>
        </is>
      </c>
      <c r="I25" s="96" t="inlineStr">
        <is>
          <t>S-15</t>
        </is>
      </c>
    </row>
    <row r="26">
      <c r="A26" s="106" t="n">
        <v>9</v>
      </c>
      <c r="B26" s="97" t="inlineStr">
        <is>
          <t>CDC Laverton Campus 1+2</t>
        </is>
      </c>
      <c r="C26" s="96" t="inlineStr">
        <is>
          <t>Melbourne</t>
        </is>
      </c>
      <c r="D26" s="115" t="n">
        <v>450</v>
      </c>
      <c r="E26" s="109" t="inlineStr">
        <is>
          <t>of 400+ MW master plan</t>
        </is>
      </c>
      <c r="F26" s="97" t="inlineStr">
        <is>
          <t>2,700</t>
        </is>
      </c>
      <c r="G26" s="97" t="inlineStr">
        <is>
          <t>Under construction (ground broken Feb 2025)</t>
        </is>
      </c>
      <c r="H26" s="96" t="inlineStr">
        <is>
          <t>Under construction</t>
        </is>
      </c>
      <c r="I26" s="96" t="inlineStr">
        <is>
          <t>S-15</t>
        </is>
      </c>
    </row>
    <row r="27">
      <c r="A27" s="106" t="n">
        <v>10</v>
      </c>
      <c r="B27" s="97" t="inlineStr">
        <is>
          <t>Stack MEL02 (Truganina)</t>
        </is>
      </c>
      <c r="C27" s="96" t="inlineStr">
        <is>
          <t>Melbourne</t>
        </is>
      </c>
      <c r="D27" s="115" t="n">
        <v>252</v>
      </c>
      <c r="E27" s="112" t="inlineStr"/>
      <c r="F27" s="97" t="inlineStr">
        <is>
          <t>part of 1,300 green loan</t>
        </is>
      </c>
      <c r="G27" s="97" t="inlineStr">
        <is>
          <t>Shell complete late 2025</t>
        </is>
      </c>
      <c r="H27" s="96" t="inlineStr">
        <is>
          <t>Under construction</t>
        </is>
      </c>
      <c r="I27" s="96" t="inlineStr">
        <is>
          <t>S-15</t>
        </is>
      </c>
    </row>
    <row r="28">
      <c r="A28" s="106" t="n">
        <v>11</v>
      </c>
      <c r="B28" s="97" t="inlineStr">
        <is>
          <t>Stack MEL01 C+D (Truganina)</t>
        </is>
      </c>
      <c r="C28" s="96" t="inlineStr">
        <is>
          <t>Melbourne</t>
        </is>
      </c>
      <c r="D28" s="115" t="n">
        <v>108</v>
      </c>
      <c r="E28" s="112" t="inlineStr"/>
      <c r="F28" s="97" t="inlineStr">
        <is>
          <t>part of 1,300 green loan</t>
        </is>
      </c>
      <c r="G28" s="97" t="inlineStr">
        <is>
          <t>Topped out Nov 2025</t>
        </is>
      </c>
      <c r="H28" s="96" t="inlineStr">
        <is>
          <t>Under construction</t>
        </is>
      </c>
      <c r="I28" s="96" t="inlineStr">
        <is>
          <t>S-15</t>
        </is>
      </c>
    </row>
    <row r="29">
      <c r="A29" s="106" t="n">
        <v>12</v>
      </c>
      <c r="B29" s="97" t="inlineStr">
        <is>
          <t>Stockland / EdgeConneX (Wetherill Park)</t>
        </is>
      </c>
      <c r="C29" s="96" t="inlineStr">
        <is>
          <t>Sydney</t>
        </is>
      </c>
      <c r="D29" s="115" t="n">
        <v>160</v>
      </c>
      <c r="E29" s="112" t="inlineStr"/>
      <c r="F29" s="111" t="inlineStr">
        <is>
          <t>n/d</t>
        </is>
      </c>
      <c r="G29" s="97" t="inlineStr">
        <is>
          <t>JV Mar 2026; under construction</t>
        </is>
      </c>
      <c r="H29" s="96" t="inlineStr">
        <is>
          <t>Under construction</t>
        </is>
      </c>
      <c r="I29" s="96" t="inlineStr">
        <is>
          <t>S-15</t>
        </is>
      </c>
    </row>
    <row r="30">
      <c r="A30" s="106" t="n">
        <v>13</v>
      </c>
      <c r="B30" s="97" t="inlineStr">
        <is>
          <t>ISPT Kemps Creek campus</t>
        </is>
      </c>
      <c r="C30" s="96" t="inlineStr">
        <is>
          <t>Sydney</t>
        </is>
      </c>
      <c r="D30" s="115" t="n">
        <v>1000</v>
      </c>
      <c r="E30" s="109" t="inlineStr">
        <is>
          <t>up to; six buildings</t>
        </is>
      </c>
      <c r="F30" s="97" t="inlineStr">
        <is>
          <t>~5,000</t>
        </is>
      </c>
      <c r="G30" s="97" t="inlineStr">
        <is>
          <t>Announced</t>
        </is>
      </c>
      <c r="H30" s="96" t="inlineStr">
        <is>
          <t>Planned / proposed</t>
        </is>
      </c>
      <c r="I30" s="96" t="inlineStr">
        <is>
          <t>S-35</t>
        </is>
      </c>
    </row>
    <row r="31">
      <c r="A31" s="106" t="n">
        <v>14</v>
      </c>
      <c r="B31" s="97" t="inlineStr">
        <is>
          <t>Goodman SYD01</t>
        </is>
      </c>
      <c r="C31" s="96" t="inlineStr">
        <is>
          <t>Sydney</t>
        </is>
      </c>
      <c r="D31" s="115" t="n">
        <v>90</v>
      </c>
      <c r="E31" s="112" t="inlineStr"/>
      <c r="F31" s="111" t="inlineStr">
        <is>
          <t>n/d</t>
        </is>
      </c>
      <c r="G31" s="97" t="inlineStr">
        <is>
          <t>Commenced 1H26</t>
        </is>
      </c>
      <c r="H31" s="96" t="inlineStr">
        <is>
          <t>Under construction</t>
        </is>
      </c>
      <c r="I31" s="96" t="inlineStr">
        <is>
          <t>S-29</t>
        </is>
      </c>
    </row>
    <row r="32">
      <c r="A32" s="106" t="n">
        <v>15</v>
      </c>
      <c r="B32" s="97" t="inlineStr">
        <is>
          <t>Goodman 'Project Atlas' (Eastern Creek)</t>
        </is>
      </c>
      <c r="C32" s="96" t="inlineStr">
        <is>
          <t>Sydney</t>
        </is>
      </c>
      <c r="D32" s="115" t="n">
        <v>500</v>
      </c>
      <c r="E32" s="109" t="inlineStr">
        <is>
          <t>~500</t>
        </is>
      </c>
      <c r="F32" s="97" t="inlineStr">
        <is>
          <t>up to 5,000</t>
        </is>
      </c>
      <c r="G32" s="97" t="inlineStr">
        <is>
          <t>SEARS filed</t>
        </is>
      </c>
      <c r="H32" s="96" t="inlineStr">
        <is>
          <t>Planned / proposed</t>
        </is>
      </c>
      <c r="I32" s="96" t="inlineStr">
        <is>
          <t>S-29</t>
        </is>
      </c>
    </row>
    <row r="33">
      <c r="A33" s="106" t="n">
        <v>16</v>
      </c>
      <c r="B33" s="97" t="inlineStr">
        <is>
          <t>Macquarie DC IC3 Super West</t>
        </is>
      </c>
      <c r="C33" s="96" t="inlineStr">
        <is>
          <t>Sydney</t>
        </is>
      </c>
      <c r="D33" s="115" t="n">
        <v>63</v>
      </c>
      <c r="E33" s="112" t="inlineStr"/>
      <c r="F33" s="97" t="inlineStr">
        <is>
          <t>350</t>
        </is>
      </c>
      <c r="G33" s="97" t="inlineStr">
        <is>
          <t>Construction since Jun 2024</t>
        </is>
      </c>
      <c r="H33" s="96" t="inlineStr">
        <is>
          <t>Under construction</t>
        </is>
      </c>
      <c r="I33" s="96" t="inlineStr">
        <is>
          <t>S-15</t>
        </is>
      </c>
    </row>
    <row r="34">
      <c r="A34" s="106" t="n">
        <v>17</v>
      </c>
      <c r="B34" s="97" t="inlineStr">
        <is>
          <t>Microsoft Azure Melbourne region</t>
        </is>
      </c>
      <c r="C34" s="96" t="inlineStr">
        <is>
          <t>Melbourne</t>
        </is>
      </c>
      <c r="D34" s="115" t="n">
        <v>48</v>
      </c>
      <c r="E34" s="109" t="inlineStr">
        <is>
          <t>expandable to 150</t>
        </is>
      </c>
      <c r="F34" s="97" t="inlineStr">
        <is>
          <t>part of A$25bn program</t>
        </is>
      </c>
      <c r="G34" s="97" t="inlineStr">
        <is>
          <t>Opened Jul 2025</t>
        </is>
      </c>
      <c r="H34" s="96" t="inlineStr">
        <is>
          <t>Operating / expanding</t>
        </is>
      </c>
      <c r="I34" s="96" t="inlineStr">
        <is>
          <t>S-32</t>
        </is>
      </c>
    </row>
    <row r="35">
      <c r="A35" s="106" t="n">
        <v>18</v>
      </c>
      <c r="B35" s="97" t="inlineStr">
        <is>
          <t>Firmus Project Southgate — Melbourne phase 1</t>
        </is>
      </c>
      <c r="C35" s="96" t="inlineStr">
        <is>
          <t>Melbourne</t>
        </is>
      </c>
      <c r="D35" s="115" t="n">
        <v>150</v>
      </c>
      <c r="E35" s="109" t="inlineStr">
        <is>
          <t>funded and contracted phase only; the 1,600 MW Southgate figure is a 2028 target and sits as an excluded memo line below</t>
        </is>
      </c>
      <c r="F35" s="97" t="inlineStr">
        <is>
          <t>&gt;4,500 (MEL phase 1)</t>
        </is>
      </c>
      <c r="G35" s="97" t="inlineStr">
        <is>
          <t>Under construction; US$10bn debt facility</t>
        </is>
      </c>
      <c r="H35" s="96" t="inlineStr">
        <is>
          <t>Under construction</t>
        </is>
      </c>
      <c r="I35" s="96" t="inlineStr">
        <is>
          <t>S-15</t>
        </is>
      </c>
    </row>
    <row r="36">
      <c r="A36" s="106" t="n">
        <v>19</v>
      </c>
      <c r="B36" s="97" t="inlineStr">
        <is>
          <t>Keppel Hazelwood (Latrobe Valley)</t>
        </is>
      </c>
      <c r="C36" s="96" t="inlineStr">
        <is>
          <t>Melbourne</t>
        </is>
      </c>
      <c r="D36" s="115" t="n">
        <v>720</v>
      </c>
      <c r="E36" s="109" t="inlineStr">
        <is>
          <t>123 ha brownfield power site</t>
        </is>
      </c>
      <c r="F36" s="111" t="inlineStr">
        <is>
          <t>n/d</t>
        </is>
      </c>
      <c r="G36" s="97" t="inlineStr">
        <is>
          <t>Proposed</t>
        </is>
      </c>
      <c r="H36" s="96" t="inlineStr">
        <is>
          <t>Planned / proposed</t>
        </is>
      </c>
      <c r="I36" s="96" t="inlineStr">
        <is>
          <t>S-45</t>
        </is>
      </c>
    </row>
    <row r="37">
      <c r="A37" s="106" t="n">
        <v>20</v>
      </c>
      <c r="B37" s="97" t="inlineStr">
        <is>
          <t>GreenSquareDC SYD1 (Norwest)</t>
        </is>
      </c>
      <c r="C37" s="96" t="inlineStr">
        <is>
          <t>Sydney</t>
        </is>
      </c>
      <c r="D37" s="115" t="n">
        <v>110</v>
      </c>
      <c r="E37" s="109" t="inlineStr">
        <is>
          <t>AI-ready</t>
        </is>
      </c>
      <c r="F37" s="97" t="inlineStr">
        <is>
          <t>1,200</t>
        </is>
      </c>
      <c r="G37" s="97" t="inlineStr">
        <is>
          <t>Announced</t>
        </is>
      </c>
      <c r="H37" s="96" t="inlineStr">
        <is>
          <t>Planned / proposed</t>
        </is>
      </c>
      <c r="I37" s="96" t="inlineStr">
        <is>
          <t>S-46</t>
        </is>
      </c>
    </row>
    <row r="38">
      <c r="A38" s="106" t="n">
        <v>21</v>
      </c>
      <c r="B38" s="97" t="inlineStr">
        <is>
          <t>Stack Horsley Park</t>
        </is>
      </c>
      <c r="C38" s="96" t="inlineStr">
        <is>
          <t>Sydney</t>
        </is>
      </c>
      <c r="D38" s="115" t="n">
        <v>450</v>
      </c>
      <c r="E38" s="112" t="inlineStr"/>
      <c r="F38" s="97" t="inlineStr">
        <is>
          <t>3,700</t>
        </is>
      </c>
      <c r="G38" s="97" t="inlineStr">
        <is>
          <t>Application lodged</t>
        </is>
      </c>
      <c r="H38" s="96" t="inlineStr">
        <is>
          <t>Planned / proposed</t>
        </is>
      </c>
      <c r="I38" s="96" t="inlineStr">
        <is>
          <t>S-46</t>
        </is>
      </c>
    </row>
    <row r="39">
      <c r="A39" s="106" t="n">
        <v>22</v>
      </c>
      <c r="B39" s="97" t="inlineStr">
        <is>
          <t>Project Meridien (Broome)</t>
        </is>
      </c>
      <c r="C39" s="96" t="inlineStr">
        <is>
          <t>Perth</t>
        </is>
      </c>
      <c r="D39" s="115" t="n">
        <v>1000</v>
      </c>
      <c r="E39" s="109" t="inlineStr">
        <is>
          <t>Karajarri country</t>
        </is>
      </c>
      <c r="F39" s="111" t="inlineStr">
        <is>
          <t>n/d</t>
        </is>
      </c>
      <c r="G39" s="97" t="inlineStr">
        <is>
          <t>Proposed — would put AU in global top power class</t>
        </is>
      </c>
      <c r="H39" s="96" t="inlineStr">
        <is>
          <t>Planned / proposed</t>
        </is>
      </c>
      <c r="I39" s="96" t="inlineStr">
        <is>
          <t>S-35</t>
        </is>
      </c>
    </row>
    <row r="40">
      <c r="A40" s="106" t="n">
        <v>23</v>
      </c>
      <c r="B40" s="97" t="inlineStr">
        <is>
          <t>DigiCo SYD1 upgrade (Ultimo)</t>
        </is>
      </c>
      <c r="C40" s="96" t="inlineStr">
        <is>
          <t>Sydney</t>
        </is>
      </c>
      <c r="D40" s="115" t="n">
        <v>62</v>
      </c>
      <c r="E40" s="109" t="inlineStr">
        <is>
          <t>26→88 MW</t>
        </is>
      </c>
      <c r="F40" s="111" t="inlineStr">
        <is>
          <t>n/d</t>
        </is>
      </c>
      <c r="G40" s="97" t="inlineStr">
        <is>
          <t>15 of 20 MW upgrade complete May 2026</t>
        </is>
      </c>
      <c r="H40" s="96" t="inlineStr">
        <is>
          <t>Under construction</t>
        </is>
      </c>
      <c r="I40" s="96" t="inlineStr">
        <is>
          <t>S-46</t>
        </is>
      </c>
    </row>
    <row r="41">
      <c r="A41" s="106" t="n">
        <v>24</v>
      </c>
      <c r="B41" s="97" t="inlineStr">
        <is>
          <t>Anthropic lease — Western Downs hub (Dalby)</t>
        </is>
      </c>
      <c r="C41" s="96" t="inlineStr">
        <is>
          <t>Regional QLD</t>
        </is>
      </c>
      <c r="D41" s="108" t="inlineStr">
        <is>
          <t>n/d</t>
        </is>
      </c>
      <c r="E41" s="109" t="inlineStr">
        <is>
          <t>MW not disclosed</t>
        </is>
      </c>
      <c r="F41" s="97" t="inlineStr">
        <is>
          <t>~30,000–32,000 (hub project value)</t>
        </is>
      </c>
      <c r="G41" s="97" t="inlineStr">
        <is>
          <t>Lease signed and announced 16 Sep 2026; hub online from 2027</t>
        </is>
      </c>
      <c r="H41" s="96" t="inlineStr">
        <is>
          <t>Planned / proposed</t>
        </is>
      </c>
      <c r="I41" s="96" t="inlineStr">
        <is>
          <t>S-47</t>
        </is>
      </c>
    </row>
    <row r="42"/>
    <row r="43">
      <c r="A43" s="95" t="inlineStr">
        <is>
          <t>Bottom-up totals (SUMIFS on table B)</t>
        </is>
      </c>
      <c r="B43" s="95" t="inlineStr">
        <is>
          <t>MW</t>
        </is>
      </c>
      <c r="C43" s="95" t="inlineStr">
        <is>
          <t>Basis</t>
        </is>
      </c>
      <c r="D43" s="95" t="inlineStr">
        <is>
          <t>Note</t>
        </is>
      </c>
      <c r="E43" s="95" t="inlineStr"/>
      <c r="F43" s="95" t="inlineStr"/>
      <c r="G43" s="95" t="inlineStr"/>
      <c r="H43" s="95" t="inlineStr"/>
      <c r="I43" s="95" t="inlineStr"/>
    </row>
    <row r="44">
      <c r="A44" s="96" t="inlineStr">
        <is>
          <t>National — under construction</t>
        </is>
      </c>
      <c r="B44" s="116">
        <f>SUMIFS($D$18:$D$41,$H$18:$H$41,"Under construction")</f>
        <v>2301</v>
      </c>
      <c r="C44" s="110" t="inlineStr">
        <is>
          <t>MW - announced project capacity</t>
        </is>
      </c>
      <c r="D44" s="94" t="inlineStr">
        <is>
          <t>SUMIFS over project class column. Firmus Southgate enters at its funded 150 MW Melbourne phase only.</t>
        </is>
      </c>
    </row>
    <row r="45">
      <c r="A45" s="96" t="inlineStr">
        <is>
          <t>National — planned / proposed</t>
        </is>
      </c>
      <c r="B45" s="116">
        <f>SUMIFS($D$18:$D$41,$H$18:$H$41,"Planned / proposed")</f>
        <v>5892</v>
      </c>
      <c r="C45" s="110" t="inlineStr">
        <is>
          <t>MW - announced project capacity</t>
        </is>
      </c>
      <c r="D45" s="94" t="inlineStr">
        <is>
          <t>NEXTDC M4 and the Anthropic Western Downs lease carry no disclosed MW and contribute zero (dossier §6.1; Addendum A1)</t>
        </is>
      </c>
    </row>
    <row r="46">
      <c r="A46" s="96" t="inlineStr">
        <is>
          <t>Memo — operating / expanding projects</t>
        </is>
      </c>
      <c r="B46" s="117">
        <f>SUMIFS($D$18:$D$41,$H$18:$H$41,"Operating / expanding")</f>
        <v>448</v>
      </c>
      <c r="C46" s="110" t="inlineStr">
        <is>
          <t>MW - announced project capacity</t>
        </is>
      </c>
      <c r="D46" s="94" t="inlineStr">
        <is>
          <t>Already inside the 2025 operating base — not additive</t>
        </is>
      </c>
    </row>
    <row r="47">
      <c r="A47" s="131" t="inlineStr">
        <is>
          <t>Total visible pipeline (UC + planned)</t>
        </is>
      </c>
      <c r="B47" s="134">
        <f>B44+B45</f>
        <v>8193</v>
      </c>
      <c r="C47" s="110" t="inlineStr">
        <is>
          <t>MW - announced project capacity</t>
        </is>
      </c>
    </row>
    <row r="48">
      <c r="A48" s="96" t="inlineStr">
        <is>
          <t>Memo — Firmus Southgate 2028 target balance (excluded from every total)</t>
        </is>
      </c>
      <c r="B48" s="143" t="n">
        <v>1450</v>
      </c>
      <c r="C48" s="110" t="inlineStr">
        <is>
          <t>MW - announced project capacity</t>
        </is>
      </c>
      <c r="D48" s="94" t="inlineStr">
        <is>
          <t>1,600 MW 2028 target less the funded 150 MW Melbourne phase. Held outside the SUMIFS range: an unbuilt target cannot carry the same delivery probability as topped-out steel. The bull case (Assumptions #4, #39) is the one line that brings it into a total, at the bull conversion rate and named where it happens (S-15; dossier §4.9, §6.1).</t>
        </is>
      </c>
    </row>
    <row r="49"/>
    <row r="50">
      <c r="A50" s="93" t="inlineStr">
        <is>
          <t>C. Metro summary — operating / UC / planned with shares and growth</t>
        </is>
      </c>
      <c r="B50" s="93" t="n"/>
      <c r="C50" s="93" t="n"/>
      <c r="D50" s="93" t="n"/>
      <c r="E50" s="93" t="n"/>
      <c r="F50" s="93" t="n"/>
      <c r="G50" s="93" t="n"/>
      <c r="H50" s="93" t="n"/>
      <c r="I50" s="93" t="n"/>
    </row>
    <row r="51">
      <c r="A51" s="95" t="inlineStr">
        <is>
          <t>Metro</t>
        </is>
      </c>
      <c r="B51" s="95" t="inlineStr">
        <is>
          <t>Operating MW (2025)</t>
        </is>
      </c>
      <c r="C51" s="95" t="inlineStr">
        <is>
          <t>Under construction MW</t>
        </is>
      </c>
      <c r="D51" s="95" t="inlineStr">
        <is>
          <t>Planned MW</t>
        </is>
      </c>
      <c r="E51" s="95" t="inlineStr">
        <is>
          <t>UC share of national</t>
        </is>
      </c>
      <c r="F51" s="95" t="inlineStr">
        <is>
          <t>Pipeline share of national</t>
        </is>
      </c>
      <c r="G51" s="95" t="inlineStr">
        <is>
          <t>Pipeline ÷ operating (x)</t>
        </is>
      </c>
    </row>
    <row r="52">
      <c r="A52" s="96" t="inlineStr">
        <is>
          <t>Sydney</t>
        </is>
      </c>
      <c r="B52" s="129">
        <f>C6</f>
        <v>810</v>
      </c>
      <c r="C52" s="117">
        <f>SUMIFS($D$18:$D$41,$C$18:$C$41,A52,$H$18:$H$41,"Under construction")</f>
        <v>987</v>
      </c>
      <c r="D52" s="117">
        <f>SUMIFS($D$18:$D$41,$C$18:$C$41,A52,$H$18:$H$41,"Planned / proposed")</f>
        <v>4172</v>
      </c>
      <c r="E52" s="120">
        <f>C52/$B$44</f>
        <v>0.42894393741851367</v>
      </c>
      <c r="F52" s="120">
        <f>(C52+D52)/$B$47</f>
        <v>0.6296838764799219</v>
      </c>
      <c r="G52" s="129">
        <f>(C52+D52)/B52</f>
        <v>6.369135802469136</v>
      </c>
    </row>
    <row r="53">
      <c r="A53" s="96" t="inlineStr">
        <is>
          <t>Melbourne</t>
        </is>
      </c>
      <c r="B53" s="129">
        <f>C7</f>
        <v>337.5</v>
      </c>
      <c r="C53" s="117">
        <f>SUMIFS($D$18:$D$41,$C$18:$C$41,A53,$H$18:$H$41,"Under construction")</f>
        <v>1314</v>
      </c>
      <c r="D53" s="117">
        <f>SUMIFS($D$18:$D$41,$C$18:$C$41,A53,$H$18:$H$41,"Planned / proposed")</f>
        <v>720</v>
      </c>
      <c r="E53" s="120">
        <f>C53/$B$44</f>
        <v>0.5710560625814863</v>
      </c>
      <c r="F53" s="120">
        <f>(C53+D53)/$B$47</f>
        <v>0.24826071036250458</v>
      </c>
      <c r="G53" s="129">
        <f>(C53+D53)/B53</f>
        <v>6.026666666666666</v>
      </c>
    </row>
    <row r="54">
      <c r="A54" s="96" t="inlineStr">
        <is>
          <t>Brisbane</t>
        </is>
      </c>
      <c r="B54" s="129">
        <f>C8</f>
        <v>81</v>
      </c>
      <c r="C54" s="117">
        <f>SUMIFS($D$18:$D$41,$C$18:$C$41,A54,$H$18:$H$41,"Under construction")</f>
        <v>0</v>
      </c>
      <c r="D54" s="117">
        <f>SUMIFS($D$18:$D$41,$C$18:$C$41,A54,$H$18:$H$41,"Planned / proposed")</f>
        <v>0</v>
      </c>
      <c r="E54" s="120">
        <f>C54/$B$44</f>
        <v>0</v>
      </c>
      <c r="F54" s="120">
        <f>(C54+D54)/$B$47</f>
        <v>0</v>
      </c>
      <c r="G54" s="129">
        <f>(C54+D54)/B54</f>
        <v>0</v>
      </c>
    </row>
    <row r="55">
      <c r="A55" s="96" t="inlineStr">
        <is>
          <t>Perth</t>
        </is>
      </c>
      <c r="B55" s="129">
        <f>C9</f>
        <v>67.5</v>
      </c>
      <c r="C55" s="117">
        <f>SUMIFS($D$18:$D$41,$C$18:$C$41,A55,$H$18:$H$41,"Under construction")</f>
        <v>0</v>
      </c>
      <c r="D55" s="117">
        <f>SUMIFS($D$18:$D$41,$C$18:$C$41,A55,$H$18:$H$41,"Planned / proposed")</f>
        <v>1000</v>
      </c>
      <c r="E55" s="120">
        <f>C55/$B$44</f>
        <v>0</v>
      </c>
      <c r="F55" s="120">
        <f>(C55+D55)/$B$47</f>
        <v>0.12205541315757354</v>
      </c>
      <c r="G55" s="129">
        <f>(C55+D55)/B55</f>
        <v>14.814814814814815</v>
      </c>
    </row>
    <row r="56">
      <c r="A56" s="96" t="inlineStr">
        <is>
          <t>Canberra</t>
        </is>
      </c>
      <c r="B56" s="129">
        <f>C10</f>
        <v>27</v>
      </c>
      <c r="C56" s="117">
        <f>SUMIFS($D$18:$D$41,$C$18:$C$41,A56,$H$18:$H$41,"Under construction")</f>
        <v>0</v>
      </c>
      <c r="D56" s="117">
        <f>SUMIFS($D$18:$D$41,$C$18:$C$41,A56,$H$18:$H$41,"Planned / proposed")</f>
        <v>0</v>
      </c>
      <c r="E56" s="120">
        <f>C56/$B$44</f>
        <v>0</v>
      </c>
      <c r="F56" s="120">
        <f>(C56+D56)/$B$47</f>
        <v>0</v>
      </c>
      <c r="G56" s="129">
        <f>(C56+D56)/B56</f>
        <v>0</v>
      </c>
    </row>
    <row r="57">
      <c r="A57" s="96" t="inlineStr">
        <is>
          <t>Adelaide</t>
        </is>
      </c>
      <c r="B57" s="129">
        <f>C11</f>
        <v>13.5</v>
      </c>
      <c r="C57" s="117">
        <f>SUMIFS($D$18:$D$41,$C$18:$C$41,A57,$H$18:$H$41,"Under construction")</f>
        <v>0</v>
      </c>
      <c r="D57" s="117">
        <f>SUMIFS($D$18:$D$41,$C$18:$C$41,A57,$H$18:$H$41,"Planned / proposed")</f>
        <v>0</v>
      </c>
      <c r="E57" s="120">
        <f>C57/$B$44</f>
        <v>0</v>
      </c>
      <c r="F57" s="120">
        <f>(C57+D57)/$B$47</f>
        <v>0</v>
      </c>
      <c r="G57" s="129">
        <f>(C57+D57)/B57</f>
        <v>0</v>
      </c>
    </row>
    <row r="58">
      <c r="A58" s="96" t="inlineStr">
        <is>
          <t>Other / regional</t>
        </is>
      </c>
      <c r="B58" s="129">
        <f>C12</f>
        <v>13.500000000000012</v>
      </c>
      <c r="C58" s="117">
        <f>SUMIFS($D$18:$D$41,$C$18:$C$41,A58,$H$18:$H$41,"Under construction")</f>
        <v>0</v>
      </c>
      <c r="D58" s="117">
        <f>SUMIFS($D$18:$D$41,$C$18:$C$41,A58,$H$18:$H$41,"Planned / proposed")</f>
        <v>0</v>
      </c>
      <c r="E58" s="120">
        <f>C58/$B$44</f>
        <v>0</v>
      </c>
      <c r="F58" s="120">
        <f>(C58+D58)/$B$47</f>
        <v>0</v>
      </c>
      <c r="G58" s="129">
        <f>(C58+D58)/B58</f>
        <v>0</v>
      </c>
    </row>
    <row r="59">
      <c r="A59" s="96" t="inlineStr">
        <is>
          <t>Regional QLD</t>
        </is>
      </c>
      <c r="B59" s="128" t="n">
        <v>0</v>
      </c>
      <c r="C59" s="117">
        <f>SUMIFS($D$18:$D$41,$C$18:$C$41,A59,$H$18:$H$41,"Under construction")</f>
        <v>0</v>
      </c>
      <c r="D59" s="117">
        <f>SUMIFS($D$18:$D$41,$C$18:$C$41,A59,$H$18:$H$41,"Planned / proposed")</f>
        <v>0</v>
      </c>
      <c r="E59" s="120">
        <f>C59/$B$44</f>
        <v>0</v>
      </c>
      <c r="F59" s="120">
        <f>(C59+D59)/$B$47</f>
        <v>0</v>
      </c>
      <c r="G59" s="108" t="inlineStr">
        <is>
          <t>n/a</t>
        </is>
      </c>
    </row>
    <row r="60">
      <c r="A60" s="96" t="inlineStr">
        <is>
          <t>Multi-metro</t>
        </is>
      </c>
      <c r="B60" s="128" t="n">
        <v>0</v>
      </c>
      <c r="C60" s="117">
        <f>SUMIFS($D$18:$D$41,$C$18:$C$41,A60,$H$18:$H$41,"Under construction")</f>
        <v>0</v>
      </c>
      <c r="D60" s="117">
        <f>SUMIFS($D$18:$D$41,$C$18:$C$41,A60,$H$18:$H$41,"Planned / proposed")</f>
        <v>0</v>
      </c>
      <c r="E60" s="120">
        <f>C60/$B$44</f>
        <v>0</v>
      </c>
      <c r="F60" s="120">
        <f>(C60+D60)/$B$47</f>
        <v>0</v>
      </c>
      <c r="G60" s="108" t="inlineStr">
        <is>
          <t>n/a</t>
        </is>
      </c>
    </row>
    <row r="61">
      <c r="A61" s="131" t="inlineStr">
        <is>
          <t>TOTAL</t>
        </is>
      </c>
      <c r="B61" s="142">
        <f>SUM(B52:B60)</f>
        <v>1350</v>
      </c>
      <c r="C61" s="134">
        <f>SUM(C52:C60)</f>
        <v>2301</v>
      </c>
      <c r="D61" s="134">
        <f>SUM(D52:D60)</f>
        <v>5892</v>
      </c>
      <c r="E61" s="141">
        <f>C61/$B$44</f>
        <v>1</v>
      </c>
      <c r="F61" s="141">
        <f>(C61+D61)/$B$47</f>
        <v>1</v>
      </c>
      <c r="G61" s="142">
        <f>(C61+D61)/B61</f>
        <v>6.068888888888889</v>
      </c>
    </row>
    <row r="62"/>
    <row r="63">
      <c r="A63" s="93" t="inlineStr">
        <is>
          <t>D. Pipeline context — methodology conflicts (flag, do not blend)</t>
        </is>
      </c>
      <c r="B63" s="93" t="n"/>
      <c r="C63" s="93" t="n"/>
      <c r="D63" s="93" t="n"/>
      <c r="E63" s="93" t="n"/>
      <c r="F63" s="93" t="n"/>
      <c r="G63" s="93" t="n"/>
      <c r="H63" s="93" t="n"/>
      <c r="I63" s="93" t="n"/>
    </row>
    <row r="64">
      <c r="A64" s="95" t="inlineStr">
        <is>
          <t>Metric</t>
        </is>
      </c>
      <c r="B64" s="95" t="inlineStr">
        <is>
          <t>Value</t>
        </is>
      </c>
      <c r="C64" s="95" t="inlineStr">
        <is>
          <t>Basis</t>
        </is>
      </c>
      <c r="D64" s="95" t="inlineStr">
        <is>
          <t>Source #</t>
        </is>
      </c>
      <c r="E64" s="95" t="inlineStr">
        <is>
          <t>Note</t>
        </is>
      </c>
    </row>
    <row r="65">
      <c r="A65" s="97" t="inlineStr">
        <is>
          <t>NSW pipeline (projects / GW, 31 Mar 2026)</t>
        </is>
      </c>
      <c r="B65" s="96" t="inlineStr">
        <is>
          <t>44 projects / 11.4 GW</t>
        </is>
      </c>
      <c r="C65" s="110" t="inlineStr">
        <is>
          <t>MW - announced project capacity (NSW, DC Byte count)</t>
        </is>
      </c>
      <c r="D65" s="96" t="inlineStr">
        <is>
          <t>S-12</t>
        </is>
      </c>
      <c r="E65" s="109" t="inlineStr">
        <is>
          <t>Climate Council / DC Byte — nearly 4× Eraring coal station</t>
        </is>
      </c>
    </row>
    <row r="66">
      <c r="A66" s="97" t="inlineStr">
        <is>
          <t>AEMO national connection requests (2025 IASR)</t>
        </is>
      </c>
      <c r="B66" s="96" t="inlineStr">
        <is>
          <t>44 GW requested vs ~6 GW Step Change need</t>
        </is>
      </c>
      <c r="C66" s="110" t="inlineStr">
        <is>
          <t>MW - grid connection requests (not capacity)</t>
        </is>
      </c>
      <c r="D66" s="96" t="inlineStr">
        <is>
          <t>S-09; S-33</t>
        </is>
      </c>
      <c r="E66" s="109" t="inlineStr">
        <is>
          <t>Oxford Economics: ~6 of every 7 requested MW is 'phantom demand'</t>
        </is>
      </c>
    </row>
    <row r="67">
      <c r="A67" s="97" t="inlineStr">
        <is>
          <t>Share of pipeline fully deliverable near-term</t>
        </is>
      </c>
      <c r="B67" s="119" t="n">
        <v>0.25</v>
      </c>
      <c r="C67" s="110" t="inlineStr">
        <is>
          <t>share of announced project capacity</t>
        </is>
      </c>
      <c r="D67" s="96" t="inlineStr">
        <is>
          <t>S-11</t>
        </is>
      </c>
      <c r="E67" s="109" t="inlineStr">
        <is>
          <t>M3 Property — power, water, cost, lead-time, regulatory barriers</t>
        </is>
      </c>
    </row>
    <row r="68">
      <c r="A68" s="97" t="inlineStr">
        <is>
          <t>M3 built-out capacity path</t>
        </is>
      </c>
      <c r="B68" s="96" t="inlineStr">
        <is>
          <t>~2,000 MW (2025) → ~9,500 MW (early 2030s)</t>
        </is>
      </c>
      <c r="C68" s="110" t="inlineStr">
        <is>
          <t>MW - built-out capacity (M3 basis)</t>
        </is>
      </c>
      <c r="D68" s="96" t="inlineStr">
        <is>
          <t>S-11</t>
        </is>
      </c>
      <c r="E68" s="109" t="inlineStr">
        <is>
          <t>Its 2025 value is 2,000 MW, not the 1,350 MW operating IT load. Read as a path on its own basis; it is not an input here.</t>
        </is>
      </c>
    </row>
    <row r="69">
      <c r="A69" s="97" t="inlineStr">
        <is>
          <t>Mordor capacity path</t>
        </is>
      </c>
      <c r="B69" s="96" t="inlineStr">
        <is>
          <t>3,530 MW (2025) → 7,180 MW (2030)</t>
        </is>
      </c>
      <c r="C69" s="110" t="inlineStr">
        <is>
          <t>MW - Mordor capacity basis</t>
        </is>
      </c>
      <c r="D69" s="96" t="inlineStr">
        <is>
          <t>S-05</t>
        </is>
      </c>
      <c r="E69" s="109" t="inlineStr">
        <is>
          <t>Published as: "In terms of IT load capacity, the market is expected to grow from 3.53 thousand megawatt in 2025 to 7.18 thousand megawatt by 2030, at a CAGR of 15.25% during the forecast period (2025-2030)." Carried in full at Market_Sizing section E.</t>
        </is>
      </c>
    </row>
    <row r="70">
      <c r="A70" s="97" t="inlineStr">
        <is>
          <t>Knight Frank Global DC Report 2025</t>
        </is>
      </c>
      <c r="B70" s="96" t="inlineStr">
        <is>
          <t>4.5 GW built IT / ~15 GW pipeline</t>
        </is>
      </c>
      <c r="C70" s="110" t="inlineStr">
        <is>
          <t>MW - built IT load (Knight Frank basis)</t>
        </is>
      </c>
      <c r="D70" s="96" t="inlineStr">
        <is>
          <t>S-19 (ref)</t>
        </is>
      </c>
      <c r="E70" s="109" t="inlineStr">
        <is>
          <t>PDF poorly OCR'd — verify against original before quoting (dossier data-gap #3)</t>
        </is>
      </c>
    </row>
    <row r="71">
      <c r="A71" s="94" t="inlineStr">
        <is>
          <t>Four of the six rows above count megawatts and no two of them count the same megawatts. They sit together so the difference is visible. None of them is blended into a total or compounded against a figure from another row.</t>
        </is>
      </c>
    </row>
  </sheetData>
  <printOptions horizontalCentered="0"/>
  <pageMargins left="0.4" right="0.4" top="0.5" bottom="0.5" header="0.5" footer="0.5"/>
  <pageSetup orientation="landscape" fitToHeight="0" fitToWidth="1"/>
</worksheet>
</file>

<file path=xl/worksheets/sheet7.xml><?xml version="1.0" encoding="utf-8"?>
<worksheet xmlns="http://schemas.openxmlformats.org/spreadsheetml/2006/main">
  <sheetPr>
    <tabColor rgb="003D4E68"/>
    <outlinePr summaryBelow="1" summaryRight="1"/>
    <pageSetUpPr fitToPage="1"/>
  </sheetPr>
  <dimension ref="A1:F49"/>
  <sheetViews>
    <sheetView showGridLines="0" workbookViewId="0">
      <pane xSplit="1" ySplit="4" topLeftCell="B5" activePane="bottomRight" state="frozen"/>
      <selection pane="topRight" activeCell="A1" sqref="A1"/>
      <selection pane="bottomLeft" activeCell="A1" sqref="A1"/>
      <selection pane="bottomRight" activeCell="A1" sqref="A1"/>
    </sheetView>
  </sheetViews>
  <sheetFormatPr baseColWidth="8" defaultRowHeight="15"/>
  <cols>
    <col width="44" customWidth="1" min="1" max="1"/>
    <col width="15" customWidth="1" min="2" max="2"/>
    <col width="14" customWidth="1" min="3" max="3"/>
    <col width="15" customWidth="1" min="4" max="4"/>
    <col width="52" customWidth="1" min="5" max="5"/>
    <col width="14" customWidth="1" min="6" max="6"/>
  </cols>
  <sheetData>
    <row r="1">
      <c r="A1" s="91" t="inlineStr">
        <is>
          <t>Unit Economics: Capex, Pricing, Revenue per MW, Margin Bridge</t>
        </is>
      </c>
      <c r="B1" s="91" t="n"/>
      <c r="C1" s="91" t="n"/>
      <c r="D1" s="91" t="n"/>
      <c r="E1" s="91" t="n"/>
      <c r="F1" s="91" t="n"/>
    </row>
    <row r="2">
      <c r="A2" s="92" t="inlineStr">
        <is>
          <t>Capex/MW benchmarks are dossier §8.3 derivations from disclosed project capex and MW; NEXTDC (ASX:NXT) is the public financial proxy.</t>
        </is>
      </c>
      <c r="B2" s="92" t="n"/>
      <c r="C2" s="92" t="n"/>
      <c r="D2" s="92" t="n"/>
      <c r="E2" s="92" t="n"/>
      <c r="F2" s="92" t="n"/>
    </row>
    <row r="3"/>
    <row r="4">
      <c r="A4" s="93" t="inlineStr">
        <is>
          <t>A. Capex per MW benchmarks (derived — inashanu calculations from disclosed figures)</t>
        </is>
      </c>
      <c r="B4" s="93" t="n"/>
      <c r="C4" s="93" t="n"/>
      <c r="D4" s="93" t="n"/>
      <c r="E4" s="93" t="n"/>
      <c r="F4" s="93" t="n"/>
    </row>
    <row r="5">
      <c r="A5" s="95" t="inlineStr">
        <is>
          <t>Project</t>
        </is>
      </c>
      <c r="B5" s="95" t="inlineStr">
        <is>
          <t>Capex (A$m)</t>
        </is>
      </c>
      <c r="C5" s="95" t="inlineStr">
        <is>
          <t>MW</t>
        </is>
      </c>
      <c r="D5" s="95" t="inlineStr">
        <is>
          <t>A$m per MW</t>
        </is>
      </c>
      <c r="E5" s="95" t="inlineStr">
        <is>
          <t>Note</t>
        </is>
      </c>
      <c r="F5" s="95" t="inlineStr">
        <is>
          <t>Source #</t>
        </is>
      </c>
    </row>
    <row r="6">
      <c r="A6" s="97" t="inlineStr">
        <is>
          <t>AirTrunk MEL2</t>
        </is>
      </c>
      <c r="B6" s="123" t="n">
        <v>5000</v>
      </c>
      <c r="C6" s="115" t="n">
        <v>354</v>
      </c>
      <c r="D6" s="124">
        <f>B6/C6</f>
        <v>14.124293785310735</v>
      </c>
      <c r="E6" s="109" t="inlineStr">
        <is>
          <t>Fully fitted hyperscale, likely incl. land/adjacent works</t>
        </is>
      </c>
      <c r="F6" s="96" t="inlineStr">
        <is>
          <t>S-15</t>
        </is>
      </c>
    </row>
    <row r="7">
      <c r="A7" s="97" t="inlineStr">
        <is>
          <t>NEXTDC S7 — planning basis (612 MW)</t>
        </is>
      </c>
      <c r="B7" s="123" t="n">
        <v>7000</v>
      </c>
      <c r="C7" s="115" t="n">
        <v>612</v>
      </c>
      <c r="D7" s="124">
        <f>B7/C7</f>
        <v>11.437908496732026</v>
      </c>
      <c r="E7" s="109" t="inlineStr">
        <is>
          <t>Planning docs Mar 2026; OpenAI MoU (Dec 2025) is not a binding lease</t>
        </is>
      </c>
      <c r="F7" s="96" t="inlineStr">
        <is>
          <t>S-39</t>
        </is>
      </c>
    </row>
    <row r="8">
      <c r="A8" s="97" t="inlineStr">
        <is>
          <t>NEXTDC S7 — announced basis (550 MW)</t>
        </is>
      </c>
      <c r="B8" s="123" t="n">
        <v>7000</v>
      </c>
      <c r="C8" s="115" t="n">
        <v>550</v>
      </c>
      <c r="D8" s="124">
        <f>B8/C8</f>
        <v>12.727272727272727</v>
      </c>
      <c r="E8" s="109" t="inlineStr">
        <is>
          <t>550 MW GPU supercluster at announcement</t>
        </is>
      </c>
      <c r="F8" s="96" t="inlineStr">
        <is>
          <t>S-39</t>
        </is>
      </c>
    </row>
    <row r="9">
      <c r="A9" s="97" t="inlineStr">
        <is>
          <t>CDC Marsden Park</t>
        </is>
      </c>
      <c r="B9" s="123" t="n">
        <v>3100</v>
      </c>
      <c r="C9" s="115" t="n">
        <v>504</v>
      </c>
      <c r="D9" s="124">
        <f>B9/C9</f>
        <v>6.150793650793651</v>
      </c>
      <c r="E9" s="109" t="inlineStr">
        <is>
          <t>720 MW substation included; scalable to ~1 GW</t>
        </is>
      </c>
      <c r="F9" s="96" t="inlineStr">
        <is>
          <t>S-16</t>
        </is>
      </c>
    </row>
    <row r="10">
      <c r="A10" s="97" t="inlineStr">
        <is>
          <t>CDC Laverton — Campus One phase</t>
        </is>
      </c>
      <c r="B10" s="123" t="n">
        <v>2700</v>
      </c>
      <c r="C10" s="115" t="n">
        <v>150</v>
      </c>
      <c r="D10" s="124">
        <f>B10/C10</f>
        <v>18</v>
      </c>
      <c r="E10" s="109" t="inlineStr">
        <is>
          <t>Campus infrastructure front-loaded (400+ MW master plan)</t>
        </is>
      </c>
      <c r="F10" s="96" t="inlineStr">
        <is>
          <t>S-15</t>
        </is>
      </c>
    </row>
    <row r="11">
      <c r="A11" s="97" t="inlineStr">
        <is>
          <t>Macquarie DC IC3 Super West</t>
        </is>
      </c>
      <c r="B11" s="123" t="n">
        <v>350</v>
      </c>
      <c r="C11" s="115" t="n">
        <v>63</v>
      </c>
      <c r="D11" s="124">
        <f>B11/C11</f>
        <v>5.555555555555555</v>
      </c>
      <c r="E11" s="109" t="inlineStr">
        <is>
          <t>Brownfield campus — lowest intensity</t>
        </is>
      </c>
      <c r="F11" s="96" t="inlineStr">
        <is>
          <t>S-15</t>
        </is>
      </c>
    </row>
    <row r="12">
      <c r="A12" s="97" t="inlineStr">
        <is>
          <t>MEMO: Firmus Melbourne phase 1 (not comparable)</t>
        </is>
      </c>
      <c r="B12" s="123" t="n">
        <v>4500</v>
      </c>
      <c r="C12" s="115" t="n">
        <v>150</v>
      </c>
      <c r="D12" s="124">
        <f>B12/C12</f>
        <v>30</v>
      </c>
      <c r="E12" s="109" t="inlineStr">
        <is>
          <t>Includes ~18,400 Nvidia GB300 GPUs — GPU-inclusive, excluded from range</t>
        </is>
      </c>
      <c r="F12" s="96" t="inlineStr">
        <is>
          <t>S-15</t>
        </is>
      </c>
    </row>
    <row r="13">
      <c r="A13" s="96" t="inlineStr">
        <is>
          <t>Range excl. GPU-inclusive memo (min – max)</t>
        </is>
      </c>
      <c r="B13" s="124">
        <f>MIN(D6:D11)</f>
        <v>5.555555555555555</v>
      </c>
      <c r="C13" s="124">
        <f>MAX(D6:D11)</f>
        <v>18</v>
      </c>
      <c r="D13" s="104" t="inlineStr"/>
      <c r="E13" s="109" t="inlineStr">
        <is>
          <t>Dossier §8.3 working range A$6–15m/MW; global rule-of-thumb US$7–12m/MW</t>
        </is>
      </c>
      <c r="F13" s="138" t="inlineStr"/>
    </row>
    <row r="14">
      <c r="A14" s="96" t="inlineStr">
        <is>
          <t>Selected capex/MW assumption (scenario-linked)</t>
        </is>
      </c>
      <c r="B14" s="135">
        <f>Assumptions!$G$31</f>
        <v>10.5</v>
      </c>
      <c r="C14" s="104" t="n"/>
      <c r="D14" s="104" t="n"/>
      <c r="E14" s="94" t="inlineStr">
        <is>
          <t>Assumptions #25: A$6 / 10.5 / 15m per MW (bear / base / bull cost outcome)</t>
        </is>
      </c>
    </row>
    <row r="15"/>
    <row r="16">
      <c r="A16" s="93" t="inlineStr">
        <is>
          <t>B. Colocation pricing &amp; revenue per MW (CBRE, Q1 2025 — 250–500 kW deployments)</t>
        </is>
      </c>
      <c r="B16" s="93" t="n"/>
      <c r="C16" s="93" t="n"/>
      <c r="D16" s="93" t="n"/>
      <c r="E16" s="93" t="n"/>
      <c r="F16" s="93" t="n"/>
    </row>
    <row r="17">
      <c r="A17" s="95" t="inlineStr">
        <is>
          <t>Market</t>
        </is>
      </c>
      <c r="B17" s="95" t="inlineStr">
        <is>
          <t>US$/kW/mo — low</t>
        </is>
      </c>
      <c r="C17" s="95" t="inlineStr">
        <is>
          <t>US$/kW/mo — high</t>
        </is>
      </c>
      <c r="D17" s="95" t="inlineStr">
        <is>
          <t>Midpoint</t>
        </is>
      </c>
      <c r="E17" s="95" t="inlineStr">
        <is>
          <t>Source #</t>
        </is>
      </c>
    </row>
    <row r="18">
      <c r="A18" s="97" t="inlineStr">
        <is>
          <t>Sydney</t>
        </is>
      </c>
      <c r="B18" s="123" t="n">
        <v>140</v>
      </c>
      <c r="C18" s="123" t="n">
        <v>215</v>
      </c>
      <c r="D18" s="124">
        <f>AVERAGE(B18:C18)</f>
        <v>177.5</v>
      </c>
      <c r="E18" s="96" t="inlineStr">
        <is>
          <t>S-07</t>
        </is>
      </c>
    </row>
    <row r="19">
      <c r="A19" s="97" t="inlineStr">
        <is>
          <t>Singapore (APAC's most expensive)</t>
        </is>
      </c>
      <c r="B19" s="123" t="n">
        <v>310</v>
      </c>
      <c r="C19" s="123" t="n">
        <v>470</v>
      </c>
      <c r="D19" s="124">
        <f>AVERAGE(B19:C19)</f>
        <v>390</v>
      </c>
      <c r="E19" s="96" t="inlineStr">
        <is>
          <t>S-07</t>
        </is>
      </c>
    </row>
    <row r="20">
      <c r="A20" s="97" t="inlineStr">
        <is>
          <t>Tokyo</t>
        </is>
      </c>
      <c r="B20" s="123" t="n">
        <v>190</v>
      </c>
      <c r="C20" s="123" t="n">
        <v>355</v>
      </c>
      <c r="D20" s="124">
        <f>AVERAGE(B20:C20)</f>
        <v>272.5</v>
      </c>
      <c r="E20" s="96" t="inlineStr">
        <is>
          <t>S-07</t>
        </is>
      </c>
    </row>
    <row r="21">
      <c r="A21" s="96" t="inlineStr">
        <is>
          <t>Global weighted average (point)</t>
        </is>
      </c>
      <c r="B21" s="104" t="inlineStr"/>
      <c r="C21" s="104" t="inlineStr"/>
      <c r="D21" s="123" t="n">
        <v>217.3</v>
      </c>
      <c r="E21" s="97" t="inlineStr">
        <is>
          <t>S-07 (+3.3% YoY)</t>
        </is>
      </c>
    </row>
    <row r="22">
      <c r="A22" s="96" t="inlineStr">
        <is>
          <t>Selected Sydney price (scenario-linked)</t>
        </is>
      </c>
      <c r="B22" s="135">
        <f>Assumptions!$G$27</f>
        <v>177.5</v>
      </c>
      <c r="E22" s="94" t="inlineStr">
        <is>
          <t>Assumptions #21: bear 140 / base 177.5 / bull 215</t>
        </is>
      </c>
    </row>
    <row r="23">
      <c r="A23" s="96" t="inlineStr">
        <is>
          <t>Revenue per MW — US$m / MW / yr</t>
        </is>
      </c>
      <c r="B23" s="124">
        <f>B22*1000*12/1000000</f>
        <v>2.13</v>
      </c>
      <c r="C23" s="104" t="n"/>
      <c r="D23" s="104" t="n"/>
      <c r="E23" s="94" t="inlineStr">
        <is>
          <t>Formula: US$/kW/mo × 1,000 kW × 12 months</t>
        </is>
      </c>
    </row>
    <row r="24">
      <c r="A24" s="96" t="inlineStr">
        <is>
          <t>Revenue per MW — A$m / MW / yr</t>
        </is>
      </c>
      <c r="B24" s="135">
        <f>B23/Assumptions!$E$26</f>
        <v>3.227272727272727</v>
      </c>
      <c r="C24" s="104" t="n"/>
      <c r="D24" s="104" t="n"/>
      <c r="E24" s="94" t="inlineStr">
        <is>
          <t>÷ FX assumption (Assumptions #20) — feeds Market_Sizing revenue build</t>
        </is>
      </c>
    </row>
    <row r="25"/>
    <row r="26">
      <c r="A26" s="93" t="inlineStr">
        <is>
          <t>C. NEXTDC (ASX:NXT) financials — public proxy for sector economics</t>
        </is>
      </c>
      <c r="B26" s="93" t="n"/>
      <c r="C26" s="93" t="n"/>
      <c r="D26" s="93" t="n"/>
      <c r="E26" s="93" t="n"/>
      <c r="F26" s="93" t="n"/>
    </row>
    <row r="27">
      <c r="A27" s="95" t="inlineStr">
        <is>
          <t>A$m (FY to 30 June)</t>
        </is>
      </c>
      <c r="B27" s="95" t="inlineStr">
        <is>
          <t>FY25</t>
        </is>
      </c>
      <c r="C27" s="95" t="inlineStr">
        <is>
          <t>FY26</t>
        </is>
      </c>
      <c r="D27" s="95" t="inlineStr">
        <is>
          <t>Source #</t>
        </is>
      </c>
      <c r="E27" s="95" t="inlineStr">
        <is>
          <t>Basis</t>
        </is>
      </c>
    </row>
    <row r="28">
      <c r="A28" s="97" t="inlineStr">
        <is>
          <t>Total revenue</t>
        </is>
      </c>
      <c r="B28" s="123" t="n">
        <v>427.2</v>
      </c>
      <c r="C28" s="123" t="n">
        <v>496.5</v>
      </c>
      <c r="D28" s="109" t="inlineStr">
        <is>
          <t>S-22; S-23</t>
        </is>
      </c>
      <c r="E28" s="110" t="inlineStr">
        <is>
          <t>A$m - NEXTDC total revenue (reported, incl. power pass-through)</t>
        </is>
      </c>
    </row>
    <row r="29">
      <c r="A29" s="97" t="inlineStr">
        <is>
          <t>Net revenue</t>
        </is>
      </c>
      <c r="B29" s="123" t="n">
        <v>350.2</v>
      </c>
      <c r="C29" s="123" t="n">
        <v>405</v>
      </c>
      <c r="D29" s="109" t="inlineStr">
        <is>
          <t>S-23</t>
        </is>
      </c>
      <c r="E29" s="110" t="inlineStr">
        <is>
          <t>A$m - NEXTDC net revenue (reported, after pass-through)</t>
        </is>
      </c>
    </row>
    <row r="30">
      <c r="A30" s="97" t="inlineStr">
        <is>
          <t>Underlying EBITDA</t>
        </is>
      </c>
      <c r="B30" s="123" t="n">
        <v>216.7</v>
      </c>
      <c r="C30" s="123" t="n">
        <v>248.8</v>
      </c>
      <c r="D30" s="109" t="inlineStr">
        <is>
          <t>S-22; S-23</t>
        </is>
      </c>
      <c r="E30" s="110" t="inlineStr">
        <is>
          <t>A$m - NEXTDC reported earnings line (EBITDA, D&amp;A, interest, result)</t>
        </is>
      </c>
    </row>
    <row r="31">
      <c r="A31" s="97" t="inlineStr">
        <is>
          <t>EBITDA margin — on total revenue</t>
        </is>
      </c>
      <c r="B31" s="120">
        <f>B30/B28</f>
        <v>0.5072565543071161</v>
      </c>
      <c r="C31" s="120">
        <f>C30/C28</f>
        <v>0.5011077542799598</v>
      </c>
      <c r="D31" s="109" t="inlineStr">
        <is>
          <t>formula</t>
        </is>
      </c>
      <c r="E31" s="110" t="inlineStr">
        <is>
          <t>ratio - NEXTDC underlying EBITDA over total revenue</t>
        </is>
      </c>
    </row>
    <row r="32">
      <c r="A32" s="97" t="inlineStr">
        <is>
          <t>EBITDA margin — on net revenue</t>
        </is>
      </c>
      <c r="B32" s="120">
        <f>B30/B29</f>
        <v>0.6187892632781268</v>
      </c>
      <c r="C32" s="122">
        <f>C30/C29</f>
        <v>0.614320987654321</v>
      </c>
      <c r="D32" s="109" t="inlineStr">
        <is>
          <t>formula</t>
        </is>
      </c>
      <c r="E32" s="110" t="inlineStr">
        <is>
          <t>ratio - NEXTDC underlying EBITDA over net revenue</t>
        </is>
      </c>
    </row>
    <row r="33">
      <c r="A33" s="97" t="inlineStr">
        <is>
          <t>Revenue growth (YoY)</t>
        </is>
      </c>
      <c r="B33" s="104" t="inlineStr"/>
      <c r="C33" s="120">
        <f>C28/B28-1</f>
        <v>0.1622191011235956</v>
      </c>
      <c r="D33" s="109" t="inlineStr">
        <is>
          <t>formula (+16% FY26; +5.7% FY25)</t>
        </is>
      </c>
      <c r="E33" s="110" t="inlineStr">
        <is>
          <t>growth rate - A$m - NEXTDC total revenue (reported, incl. power pass-through)</t>
        </is>
      </c>
    </row>
    <row r="34">
      <c r="A34" s="97" t="inlineStr">
        <is>
          <t>Depreciation &amp; amortisation</t>
        </is>
      </c>
      <c r="B34" s="104" t="inlineStr"/>
      <c r="C34" s="123" t="n">
        <v>262.5</v>
      </c>
      <c r="D34" s="109" t="inlineStr">
        <is>
          <t>S-22</t>
        </is>
      </c>
      <c r="E34" s="110" t="inlineStr">
        <is>
          <t>A$m - NEXTDC reported earnings line (EBITDA, D&amp;A, interest, result)</t>
        </is>
      </c>
    </row>
    <row r="35">
      <c r="A35" s="97" t="inlineStr">
        <is>
          <t>Net interest</t>
        </is>
      </c>
      <c r="B35" s="104" t="inlineStr"/>
      <c r="C35" s="123" t="n">
        <v>81.7</v>
      </c>
      <c r="D35" s="109" t="inlineStr">
        <is>
          <t>S-22</t>
        </is>
      </c>
      <c r="E35" s="110" t="inlineStr">
        <is>
          <t>A$m - NEXTDC reported earnings line (EBITDA, D&amp;A, interest, result)</t>
        </is>
      </c>
    </row>
    <row r="36">
      <c r="A36" s="97" t="inlineStr">
        <is>
          <t>Statutory result</t>
        </is>
      </c>
      <c r="B36" s="123" t="n">
        <v>-60.5</v>
      </c>
      <c r="C36" s="108" t="inlineStr">
        <is>
          <t>n/d</t>
        </is>
      </c>
      <c r="D36" s="109" t="inlineStr">
        <is>
          <t>S-23 (FY25 loss; 1H26 net loss A$39.4m)</t>
        </is>
      </c>
      <c r="E36" s="110" t="inlineStr">
        <is>
          <t>A$m - NEXTDC reported earnings line (EBITDA, D&amp;A, interest, result)</t>
        </is>
      </c>
    </row>
    <row r="37"/>
    <row r="38">
      <c r="A38" s="93" t="inlineStr">
        <is>
          <t>D. EBITDA margin bridge, FY26 (A$m) — indicative walk from revenue to pre-tax result</t>
        </is>
      </c>
      <c r="B38" s="93" t="n"/>
      <c r="C38" s="93" t="n"/>
      <c r="D38" s="93" t="n"/>
      <c r="E38" s="93" t="n"/>
      <c r="F38" s="93" t="n"/>
    </row>
    <row r="39">
      <c r="A39" s="95" t="inlineStr">
        <is>
          <t>Bridge step</t>
        </is>
      </c>
      <c r="B39" s="95" t="inlineStr">
        <is>
          <t>A$m</t>
        </is>
      </c>
      <c r="C39" s="95" t="inlineStr">
        <is>
          <t>% of net revenue</t>
        </is>
      </c>
      <c r="D39" s="95" t="inlineStr">
        <is>
          <t>Note</t>
        </is>
      </c>
    </row>
    <row r="40">
      <c r="A40" s="97" t="inlineStr">
        <is>
          <t>Total revenue</t>
        </is>
      </c>
      <c r="B40" s="124">
        <f>C28</f>
        <v>496.5</v>
      </c>
      <c r="C40" s="120">
        <f>B40/C29</f>
        <v>1.2259259259259259</v>
      </c>
      <c r="D40" s="109" t="inlineStr">
        <is>
          <t>Gross billing incl. power pass-through</t>
        </is>
      </c>
    </row>
    <row r="41">
      <c r="A41" s="97" t="inlineStr">
        <is>
          <t>Net revenue (after pass-through)</t>
        </is>
      </c>
      <c r="B41" s="124">
        <f>C29</f>
        <v>405</v>
      </c>
      <c r="C41" s="120">
        <f>B41/C29</f>
        <v>1</v>
      </c>
      <c r="D41" s="109" t="inlineStr">
        <is>
          <t>NEXTDC-reported net revenue basis</t>
        </is>
      </c>
    </row>
    <row r="42">
      <c r="A42" s="97" t="inlineStr">
        <is>
          <t>Gross profit (@ the disclosed gross margin)</t>
        </is>
      </c>
      <c r="B42" s="135">
        <f>C29*Assumptions!$E$46</f>
        <v>332.09999999999997</v>
      </c>
      <c r="C42" s="120">
        <f>B42/C29</f>
        <v>0.82</v>
      </c>
      <c r="D42" s="109" t="inlineStr">
        <is>
          <t>Gross margin at Assumptions #40 (S-22; S-41) — a declared conversion from the net revenue basis to the earnings basis</t>
        </is>
      </c>
    </row>
    <row r="43">
      <c r="A43" s="97" t="inlineStr">
        <is>
          <t>Operating costs (balancing item)</t>
        </is>
      </c>
      <c r="B43" s="124">
        <f>B42-C30</f>
        <v>83.29999999999995</v>
      </c>
      <c r="C43" s="120">
        <f>B43/C29</f>
        <v>0.2056790123456789</v>
      </c>
      <c r="D43" s="109" t="inlineStr">
        <is>
          <t>Plug: gross profit − underlying EBITDA</t>
        </is>
      </c>
    </row>
    <row r="44">
      <c r="A44" s="97" t="inlineStr">
        <is>
          <t>Underlying EBITDA</t>
        </is>
      </c>
      <c r="B44" s="124">
        <f>C30</f>
        <v>248.8</v>
      </c>
      <c r="C44" s="120">
        <f>B44/C29</f>
        <v>0.614320987654321</v>
      </c>
      <c r="D44" s="109" t="inlineStr">
        <is>
          <t>≈50% of total revenue / ≈61% of net revenue</t>
        </is>
      </c>
    </row>
    <row r="45">
      <c r="A45" s="97" t="inlineStr">
        <is>
          <t>Depreciation &amp; amortisation</t>
        </is>
      </c>
      <c r="B45" s="124">
        <f>-C34</f>
        <v>-262.5</v>
      </c>
      <c r="C45" s="120">
        <f>B45/C29</f>
        <v>-0.6481481481481481</v>
      </c>
      <c r="D45" s="109" t="inlineStr">
        <is>
          <t>Heavy D&amp;A reflects capital intensity</t>
        </is>
      </c>
    </row>
    <row r="46">
      <c r="A46" s="97" t="inlineStr">
        <is>
          <t>EBIT</t>
        </is>
      </c>
      <c r="B46" s="124">
        <f>C30-C34</f>
        <v>-13.699999999999989</v>
      </c>
      <c r="C46" s="120">
        <f>B46/C29</f>
        <v>-0.033827160493827134</v>
      </c>
      <c r="D46" s="112" t="inlineStr"/>
    </row>
    <row r="47">
      <c r="A47" s="97" t="inlineStr">
        <is>
          <t>Net interest</t>
        </is>
      </c>
      <c r="B47" s="124">
        <f>-C35</f>
        <v>-81.7</v>
      </c>
      <c r="C47" s="120">
        <f>B47/C29</f>
        <v>-0.2017283950617284</v>
      </c>
      <c r="D47" s="109" t="inlineStr">
        <is>
          <t>A$3.5bn (2025) + ~A$2.3bn (2026) senior debt raised</t>
        </is>
      </c>
    </row>
    <row r="48">
      <c r="A48" s="97" t="inlineStr">
        <is>
          <t>Pre-tax result (indicative)</t>
        </is>
      </c>
      <c r="B48" s="124">
        <f>C30-C34-C35</f>
        <v>-95.39999999999999</v>
      </c>
      <c r="C48" s="120">
        <f>B48/C29</f>
        <v>-0.23555555555555555</v>
      </c>
      <c r="D48" s="109" t="inlineStr">
        <is>
          <t>Statutory FY26 result not disclosed in dossier; FY25 statutory loss A$60.5m</t>
        </is>
      </c>
    </row>
    <row r="49">
      <c r="A49" s="94" t="inlineStr">
        <is>
          <t>Bridge is indicative: opex is derived as a balancing plug and the pre-tax result is not a disclosed statutory figure. FCF is deeply negative (−A$1.98bn FY26) during build-out (S-22) — EBITDA margins overstate cash economics mid-cycle.</t>
        </is>
      </c>
    </row>
  </sheetData>
  <printOptions horizontalCentered="0"/>
  <pageMargins left="0.4" right="0.4" top="0.5" bottom="0.5" header="0.5" footer="0.5"/>
  <pageSetup orientation="portrait" fitToHeight="0" fitToWidth="1"/>
</worksheet>
</file>

<file path=xl/worksheets/sheet8.xml><?xml version="1.0" encoding="utf-8"?>
<worksheet xmlns="http://schemas.openxmlformats.org/spreadsheetml/2006/main">
  <sheetPr>
    <tabColor rgb="003D4E68"/>
    <outlinePr summaryBelow="1" summaryRight="1"/>
    <pageSetUpPr fitToPage="1"/>
  </sheetPr>
  <dimension ref="A1:H75"/>
  <sheetViews>
    <sheetView showGridLines="0" workbookViewId="0">
      <pane xSplit="1" ySplit="4" topLeftCell="B5" activePane="bottomRight" state="frozen"/>
      <selection pane="topRight" activeCell="A1" sqref="A1"/>
      <selection pane="bottomLeft" activeCell="A1" sqref="A1"/>
      <selection pane="bottomRight" activeCell="A1" sqref="A1"/>
    </sheetView>
  </sheetViews>
  <sheetFormatPr baseColWidth="8" defaultRowHeight="15"/>
  <cols>
    <col width="46" customWidth="1" min="1" max="1"/>
    <col width="15" customWidth="1" min="2" max="2"/>
    <col width="15" customWidth="1" min="3" max="3"/>
    <col width="15" customWidth="1" min="4" max="4"/>
    <col width="16" customWidth="1" min="5" max="5"/>
    <col width="12" customWidth="1" min="6" max="6"/>
    <col width="12" customWidth="1" min="7" max="7"/>
    <col width="12" customWidth="1" min="8" max="8"/>
  </cols>
  <sheetData>
    <row r="1">
      <c r="A1" s="91" t="inlineStr">
        <is>
          <t>Valuation &amp; Comparables: Transactions, Listed Proxies, Cap Rates</t>
        </is>
      </c>
      <c r="B1" s="91" t="n"/>
      <c r="C1" s="91" t="n"/>
      <c r="D1" s="91" t="n"/>
      <c r="E1" s="91" t="n"/>
      <c r="F1" s="91" t="n"/>
      <c r="G1" s="91" t="n"/>
      <c r="H1" s="91" t="n"/>
    </row>
    <row r="2">
      <c r="A2" s="92" t="inlineStr">
        <is>
          <t>Conflicting multiples are shown side-by-side with their basis — never blended (dossier §4.1, §9).</t>
        </is>
      </c>
      <c r="B2" s="92" t="n"/>
      <c r="C2" s="92" t="n"/>
      <c r="D2" s="92" t="n"/>
      <c r="E2" s="92" t="n"/>
      <c r="F2" s="92" t="n"/>
      <c r="G2" s="92" t="n"/>
      <c r="H2" s="92" t="n"/>
    </row>
    <row r="3"/>
    <row r="4">
      <c r="A4" s="93" t="inlineStr">
        <is>
          <t>A. AirTrunk (Blackstone/CPPIB, Dec 2024) — both multiple bases</t>
        </is>
      </c>
      <c r="B4" s="93" t="n"/>
      <c r="C4" s="93" t="n"/>
      <c r="D4" s="93" t="n"/>
      <c r="E4" s="93" t="n"/>
      <c r="F4" s="93" t="n"/>
      <c r="G4" s="93" t="n"/>
      <c r="H4" s="93" t="n"/>
    </row>
    <row r="5">
      <c r="A5" s="95" t="inlineStr">
        <is>
          <t>Metric</t>
        </is>
      </c>
      <c r="B5" s="95" t="inlineStr">
        <is>
          <t>Value</t>
        </is>
      </c>
      <c r="C5" s="95" t="inlineStr">
        <is>
          <t>Note</t>
        </is>
      </c>
      <c r="D5" s="95" t="inlineStr">
        <is>
          <t>Source #</t>
        </is>
      </c>
    </row>
    <row r="6">
      <c r="A6" s="96" t="inlineStr">
        <is>
          <t>Enterprise value (A$m)</t>
        </is>
      </c>
      <c r="B6" s="123" t="n">
        <v>24000</v>
      </c>
      <c r="C6" s="109" t="inlineStr">
        <is>
          <t>Implied EV &gt;A$24bn (US$16.1bn) — largest DC transaction globally at the time</t>
        </is>
      </c>
      <c r="D6" s="96" t="inlineStr">
        <is>
          <t>S-17</t>
        </is>
      </c>
    </row>
    <row r="7">
      <c r="A7" s="96" t="inlineStr">
        <is>
          <t>Contracted EBITDA multiple</t>
        </is>
      </c>
      <c r="B7" s="128" t="n">
        <v>21</v>
      </c>
      <c r="C7" s="109" t="inlineStr">
        <is>
          <t>PwC Australia — 'reported deal multiple' on contracted earnings</t>
        </is>
      </c>
      <c r="D7" s="96" t="inlineStr">
        <is>
          <t>S-19</t>
        </is>
      </c>
    </row>
    <row r="8">
      <c r="A8" s="96" t="inlineStr">
        <is>
          <t>Implied contracted EBITDA (A$m)</t>
        </is>
      </c>
      <c r="B8" s="127">
        <f>B6/B7</f>
        <v>1142.857142857143</v>
      </c>
      <c r="C8" s="109" t="inlineStr">
        <is>
          <t>inashanu estimate = EV ÷ 21x — EV includes committed-capex value</t>
        </is>
      </c>
      <c r="D8" s="96" t="inlineStr">
        <is>
          <t>derived</t>
        </is>
      </c>
    </row>
    <row r="9">
      <c r="A9" s="96" t="inlineStr">
        <is>
          <t>Trailing 2024 EBITDA multiple</t>
        </is>
      </c>
      <c r="B9" s="128" t="n">
        <v>87</v>
      </c>
      <c r="C9" s="109" t="inlineStr">
        <is>
          <t>~87x expected 2024 EBITDA per AFR via Reuters Breakingviews</t>
        </is>
      </c>
      <c r="D9" s="96" t="inlineStr">
        <is>
          <t>S-18</t>
        </is>
      </c>
    </row>
    <row r="10">
      <c r="A10" s="96" t="inlineStr">
        <is>
          <t>Implied trailing EBITDA (A$m)</t>
        </is>
      </c>
      <c r="B10" s="124">
        <f>B6/B9</f>
        <v>275.86206896551727</v>
      </c>
      <c r="C10" s="109" t="inlineStr">
        <is>
          <t>inashanu estimate = EV ÷ 87x — trailing earnings pre-conversion</t>
        </is>
      </c>
      <c r="D10" s="96" t="inlineStr">
        <is>
          <t>derived</t>
        </is>
      </c>
    </row>
    <row r="11">
      <c r="A11" s="96" t="inlineStr">
        <is>
          <t>2020 entry EV (88%, Macquarie/PSP, A$m)</t>
        </is>
      </c>
      <c r="B11" s="123" t="n">
        <v>3000</v>
      </c>
      <c r="C11" s="109" t="inlineStr">
        <is>
          <t>~A$3bn valuation, 2020</t>
        </is>
      </c>
      <c r="D11" s="96" t="inlineStr">
        <is>
          <t>S-18</t>
        </is>
      </c>
    </row>
    <row r="12">
      <c r="A12" s="96" t="inlineStr">
        <is>
          <t>Value uplift 2020 → 2024</t>
        </is>
      </c>
      <c r="B12" s="129">
        <f>B6/B11</f>
        <v>8</v>
      </c>
      <c r="C12" s="109" t="inlineStr">
        <is>
          <t>~8x in four years</t>
        </is>
      </c>
      <c r="D12" s="96" t="inlineStr">
        <is>
          <t>derived</t>
        </is>
      </c>
    </row>
    <row r="13">
      <c r="A13" s="94" t="inlineStr">
        <is>
          <t>Why two bases: the ~87x trailing figure divides EV (which capitalises &gt;800 MW committed and &gt;1 GW of land-backed growth) by earnings that had not yet converted; the 21x contracted figure divides the same EV by contracted earnings. The 4x gap between them IS the AI-conversion bet — flag, don't average.</t>
        </is>
      </c>
    </row>
    <row r="14"/>
    <row r="15">
      <c r="A15" s="93" t="inlineStr">
        <is>
          <t>B. NEXTDC (ASX:NXT) — listed pure-play proxy</t>
        </is>
      </c>
      <c r="B15" s="93" t="n"/>
      <c r="C15" s="93" t="n"/>
      <c r="D15" s="93" t="n"/>
      <c r="E15" s="93" t="n"/>
      <c r="F15" s="93" t="n"/>
      <c r="G15" s="93" t="n"/>
      <c r="H15" s="93" t="n"/>
    </row>
    <row r="16">
      <c r="A16" s="95" t="inlineStr">
        <is>
          <t>Metric</t>
        </is>
      </c>
      <c r="B16" s="95" t="inlineStr">
        <is>
          <t>Value</t>
        </is>
      </c>
      <c r="C16" s="95" t="inlineStr">
        <is>
          <t>Note</t>
        </is>
      </c>
      <c r="D16" s="95" t="inlineStr">
        <is>
          <t>Source #</t>
        </is>
      </c>
      <c r="E16" s="95" t="inlineStr">
        <is>
          <t>Basis</t>
        </is>
      </c>
    </row>
    <row r="17">
      <c r="A17" s="96" t="inlineStr">
        <is>
          <t>Share price (A$, 16 Sep 2026 close)</t>
        </is>
      </c>
      <c r="B17" s="123" t="n">
        <v>11.39</v>
      </c>
      <c r="C17" s="109" t="inlineStr">
        <is>
          <t>52-week range A$10.91–17.84 on that close (MarketScreener, retrieved 21 Sep 2026); −14% in month to 9 Sep 2026</t>
        </is>
      </c>
      <c r="D17" s="96" t="inlineStr">
        <is>
          <t>S-21; S-22</t>
        </is>
      </c>
      <c r="E17" s="110" t="inlineStr">
        <is>
          <t>A$ per NEXTDC share</t>
        </is>
      </c>
    </row>
    <row r="18">
      <c r="A18" s="96" t="inlineStr">
        <is>
          <t>Market cap (A$m): B quoted at the 16 Sep 2026 close, C computed from 759,554,497 shares at that close</t>
        </is>
      </c>
      <c r="B18" s="123" t="n">
        <v>8630</v>
      </c>
      <c r="C18" s="144" t="n">
        <v>8651</v>
      </c>
      <c r="D18" s="96" t="inlineStr">
        <is>
          <t>S-21; S-48; derived</t>
        </is>
      </c>
      <c r="E18" s="110" t="inlineStr">
        <is>
          <t>A$m - NEXTDC market capitalisation</t>
        </is>
      </c>
    </row>
    <row r="19">
      <c r="A19" s="96" t="inlineStr">
        <is>
          <t>EV / EBITDA</t>
        </is>
      </c>
      <c r="B19" s="128" t="n">
        <v>57.5</v>
      </c>
      <c r="C19" s="109" t="inlineStr">
        <is>
          <t>Priced for conversion of the 565 MW forward order book</t>
        </is>
      </c>
      <c r="D19" s="96" t="inlineStr">
        <is>
          <t>S-41</t>
        </is>
      </c>
      <c r="E19" s="110" t="inlineStr">
        <is>
          <t>multiple - EV over underlying EBITDA</t>
        </is>
      </c>
    </row>
    <row r="20">
      <c r="A20" s="96" t="inlineStr">
        <is>
          <t>EV / Revenue</t>
        </is>
      </c>
      <c r="B20" s="128" t="n">
        <v>24.3</v>
      </c>
      <c r="C20" s="107" t="inlineStr"/>
      <c r="D20" s="96" t="inlineStr">
        <is>
          <t>S-41</t>
        </is>
      </c>
      <c r="E20" s="110" t="inlineStr">
        <is>
          <t>multiple - EV over total revenue</t>
        </is>
      </c>
    </row>
    <row r="21">
      <c r="A21" s="96" t="inlineStr">
        <is>
          <t>Implied EV (A$m) — from EV/EBITDA × FY26 uEBITDA</t>
        </is>
      </c>
      <c r="B21" s="135">
        <f>B19*Unit_Economics!$C$30</f>
        <v>14306</v>
      </c>
      <c r="C21" s="109" t="inlineStr">
        <is>
          <t>inashanu estimate — cross-check vs market cap + net debt</t>
        </is>
      </c>
      <c r="D21" s="96" t="inlineStr">
        <is>
          <t>derived</t>
        </is>
      </c>
      <c r="E21" s="110" t="inlineStr">
        <is>
          <t>A$m - NEXTDC enterprise value implied by multiple</t>
        </is>
      </c>
    </row>
    <row r="22">
      <c r="A22" s="96" t="inlineStr">
        <is>
          <t>Implied EV (A$m) — from EV/Revenue × FY26 revenue</t>
        </is>
      </c>
      <c r="B22" s="135">
        <f>B20*Unit_Economics!$C$28</f>
        <v>12064.95</v>
      </c>
      <c r="C22" s="109" t="inlineStr">
        <is>
          <t>inashanu estimate — second cross-check</t>
        </is>
      </c>
      <c r="D22" s="96" t="inlineStr">
        <is>
          <t>derived</t>
        </is>
      </c>
      <c r="E22" s="110" t="inlineStr">
        <is>
          <t>A$m - NEXTDC enterprise value implied by multiple</t>
        </is>
      </c>
    </row>
    <row r="23">
      <c r="A23" s="96" t="inlineStr">
        <is>
          <t>Average analyst target (A$)</t>
        </is>
      </c>
      <c r="B23" s="123" t="n">
        <v>20.03</v>
      </c>
      <c r="C23" s="109" t="inlineStr">
        <is>
          <t>Average of the analyst panel on the MarketScreener quote page at the same retrieval</t>
        </is>
      </c>
      <c r="D23" s="96" t="inlineStr">
        <is>
          <t>S-21</t>
        </is>
      </c>
      <c r="E23" s="110" t="inlineStr">
        <is>
          <t>A$ per NEXTDC share</t>
        </is>
      </c>
    </row>
    <row r="24">
      <c r="A24" s="96" t="inlineStr">
        <is>
          <t>Implied upside vs 16 Sep 2026 price</t>
        </is>
      </c>
      <c r="B24" s="120">
        <f>B23/B17-1</f>
        <v>0.7585601404741</v>
      </c>
      <c r="C24" s="109" t="inlineStr">
        <is>
          <t>Quantfolio cites ~53% upside (19 Jul 2026) struck at the then-price, and its page no longer carries a target; the figure here is the average analyst target over the 16 Sep 2026 close</t>
        </is>
      </c>
      <c r="D24" s="96" t="inlineStr">
        <is>
          <t>S-21; S-41</t>
        </is>
      </c>
      <c r="E24" s="110" t="inlineStr">
        <is>
          <t>change - A$ per NEXTDC share, consensus target over close</t>
        </is>
      </c>
    </row>
    <row r="25"/>
    <row r="26">
      <c r="A26" s="93" t="inlineStr">
        <is>
          <t>C. CDC Data Centres — independent valuation trajectory (Infratil disclosures)</t>
        </is>
      </c>
      <c r="B26" s="93" t="n"/>
      <c r="C26" s="93" t="n"/>
      <c r="D26" s="93" t="n"/>
      <c r="E26" s="93" t="n"/>
      <c r="F26" s="93" t="n"/>
      <c r="G26" s="93" t="n"/>
      <c r="H26" s="93" t="n"/>
    </row>
    <row r="27">
      <c r="A27" s="95" t="inlineStr">
        <is>
          <t>Date</t>
        </is>
      </c>
      <c r="B27" s="95" t="inlineStr">
        <is>
          <t>EV (A$bn)</t>
        </is>
      </c>
      <c r="C27" s="95" t="inlineStr">
        <is>
          <t>QoQ growth</t>
        </is>
      </c>
      <c r="D27" s="95" t="inlineStr">
        <is>
          <t>Source #</t>
        </is>
      </c>
      <c r="E27" s="95" t="inlineStr">
        <is>
          <t>Basis</t>
        </is>
      </c>
    </row>
    <row r="28">
      <c r="A28" s="96" t="inlineStr">
        <is>
          <t>Feb 2025 (share reshuffle)</t>
        </is>
      </c>
      <c r="B28" s="123" t="n">
        <v>17</v>
      </c>
      <c r="C28" s="108" t="inlineStr">
        <is>
          <t>—</t>
        </is>
      </c>
      <c r="D28" s="96" t="inlineStr">
        <is>
          <t>S-24</t>
        </is>
      </c>
      <c r="E28" s="110" t="inlineStr">
        <is>
          <t>A$bn - transaction-implied enterprise value</t>
        </is>
      </c>
    </row>
    <row r="29">
      <c r="A29" s="96" t="inlineStr">
        <is>
          <t>31 Dec 2025</t>
        </is>
      </c>
      <c r="B29" s="123" t="n">
        <v>14</v>
      </c>
      <c r="C29" s="108" t="inlineStr">
        <is>
          <t>n/a</t>
        </is>
      </c>
      <c r="D29" s="96" t="inlineStr">
        <is>
          <t>S-25</t>
        </is>
      </c>
      <c r="E29" s="110" t="inlineStr">
        <is>
          <t>A$bn - independent valuation (Infratil disclosure)</t>
        </is>
      </c>
    </row>
    <row r="30">
      <c r="A30" s="96" t="inlineStr">
        <is>
          <t>31 Mar 2026</t>
        </is>
      </c>
      <c r="B30" s="123" t="n">
        <v>15</v>
      </c>
      <c r="C30" s="120">
        <f>B30/B29-1</f>
        <v>0.0714285714285714</v>
      </c>
      <c r="D30" s="96" t="inlineStr">
        <is>
          <t>S-25</t>
        </is>
      </c>
      <c r="E30" s="110" t="inlineStr">
        <is>
          <t>A$bn - independent valuation (Infratil disclosure)</t>
        </is>
      </c>
    </row>
    <row r="31">
      <c r="A31" s="96" t="inlineStr">
        <is>
          <t>30 Jun 2026</t>
        </is>
      </c>
      <c r="B31" s="123" t="n">
        <v>18.5</v>
      </c>
      <c r="C31" s="120">
        <f>B31/B30-1</f>
        <v>0.2333333333333334</v>
      </c>
      <c r="D31" s="96" t="inlineStr">
        <is>
          <t>S-25; S-26</t>
        </is>
      </c>
      <c r="E31" s="110" t="inlineStr">
        <is>
          <t>A$bn - independent valuation (Infratil disclosure)</t>
        </is>
      </c>
    </row>
    <row r="32">
      <c r="A32" s="94" t="inlineStr">
        <is>
          <t>The Feb 2025 figure is what a shareholding reshuffle priced the company at. The three that follow are independent valuations carried in Infratil's disclosures. A step from the first to the second would measure the distance between a transaction price and a valuation as well as nine months of trading, so it is left blank rather than computed. The three independent valuations are on one basis and step against each other.</t>
        </is>
      </c>
    </row>
    <row r="33">
      <c r="A33" s="94" t="inlineStr">
        <is>
          <t>Formula-computed Mar→Jun 2026 step is +23.3%; the dossier cites +23.6% — the difference is rounding in the published EV figures (A$15.0bn / A$18.5bn). Flagged, not adjusted.</t>
        </is>
      </c>
    </row>
    <row r="34">
      <c r="A34" s="97" t="inlineStr">
        <is>
          <t>Cross-check: Infratil stake A$9.21bn ÷ 49.72% ⇒ implied 100% EV (A$bn)</t>
        </is>
      </c>
      <c r="B34" s="124">
        <f>9.21/0.4972</f>
        <v>18.52373290426388</v>
      </c>
      <c r="C34" s="109" t="inlineStr">
        <is>
          <t>≈ A$18.5bn — ties to the 30 Jun 2026 independent valuation</t>
        </is>
      </c>
      <c r="D34" s="96" t="inlineStr">
        <is>
          <t>S-24; S-25</t>
        </is>
      </c>
    </row>
    <row r="35">
      <c r="A35" s="97" t="inlineStr">
        <is>
          <t>Implied EV ÷ contracted EBITDA at 1 GW deployed</t>
        </is>
      </c>
      <c r="B35" s="140">
        <f>B31*1000/(Assumptions!$E$32*1000)</f>
        <v>9.25</v>
      </c>
      <c r="C35" s="109" t="inlineStr">
        <is>
          <t>inashanu estimate — future-basis anchor: 1 GW ≈ A$2bn annualised contracted EBITDA (S-27); NOT a current multiple</t>
        </is>
      </c>
      <c r="D35" s="96" t="inlineStr">
        <is>
          <t>derived</t>
        </is>
      </c>
    </row>
    <row r="36"/>
    <row r="37">
      <c r="A37" s="93" t="inlineStr">
        <is>
          <t>D. Cap-rate / yield band</t>
        </is>
      </c>
      <c r="B37" s="93" t="n"/>
      <c r="C37" s="93" t="n"/>
      <c r="D37" s="93" t="n"/>
      <c r="E37" s="93" t="n"/>
      <c r="F37" s="93" t="n"/>
      <c r="G37" s="93" t="n"/>
      <c r="H37" s="93" t="n"/>
    </row>
    <row r="38">
      <c r="A38" s="95" t="inlineStr">
        <is>
          <t>Source</t>
        </is>
      </c>
      <c r="B38" s="95" t="inlineStr">
        <is>
          <t>Low</t>
        </is>
      </c>
      <c r="C38" s="95" t="inlineStr">
        <is>
          <t>High</t>
        </is>
      </c>
      <c r="D38" s="95" t="inlineStr">
        <is>
          <t>Point / note</t>
        </is>
      </c>
    </row>
    <row r="39">
      <c r="A39" s="97" t="inlineStr">
        <is>
          <t>PwC Australia observed DC yield range (S-19)</t>
        </is>
      </c>
      <c r="B39" s="119" t="n">
        <v>0.035</v>
      </c>
      <c r="C39" s="119" t="n">
        <v>0.0704</v>
      </c>
      <c r="D39" s="109" t="inlineStr">
        <is>
          <t>Depends on lease terms, obsolescence, quality, location</t>
        </is>
      </c>
    </row>
    <row r="40">
      <c r="A40" s="97" t="inlineStr">
        <is>
          <t>M3 / Colliers — AU DC assets (S-31)</t>
        </is>
      </c>
      <c r="B40" s="119" t="n">
        <v>0.052</v>
      </c>
      <c r="C40" s="119" t="n">
        <v>0.062</v>
      </c>
      <c r="D40" s="109" t="inlineStr">
        <is>
          <t>General trading band</t>
        </is>
      </c>
    </row>
    <row r="41">
      <c r="A41" s="97" t="inlineStr">
        <is>
          <t>CBRE 2026 APAC outlook (S-34)</t>
        </is>
      </c>
      <c r="B41" s="104" t="inlineStr"/>
      <c r="C41" s="104" t="inlineStr"/>
      <c r="D41" s="109" t="inlineStr">
        <is>
          <t>Australian cap rates above 6% at the top end — yields widening even as occupier demand peaks</t>
        </is>
      </c>
    </row>
    <row r="42">
      <c r="A42" s="97" t="inlineStr">
        <is>
          <t>Savills — APAC tier-1 investment grade (S-30)</t>
        </is>
      </c>
      <c r="B42" s="119" t="n">
        <v>0.04</v>
      </c>
      <c r="C42" s="119" t="n">
        <v>0.07000000000000001</v>
      </c>
      <c r="D42" s="109" t="inlineStr">
        <is>
          <t>~5% average</t>
        </is>
      </c>
    </row>
    <row r="43">
      <c r="A43" s="97" t="inlineStr">
        <is>
          <t>Reference: Telstra Clayton sale-leaseback 2020 (S-19)</t>
        </is>
      </c>
      <c r="B43" s="104" t="inlineStr"/>
      <c r="C43" s="104" t="inlineStr"/>
      <c r="D43" s="109" t="inlineStr">
        <is>
          <t>4.2% yield, 30-yr lease</t>
        </is>
      </c>
    </row>
    <row r="44">
      <c r="A44" s="97" t="inlineStr">
        <is>
          <t>Reference: Global Switch SYD1 (S-30)</t>
        </is>
      </c>
      <c r="B44" s="104" t="inlineStr"/>
      <c r="C44" s="104" t="inlineStr"/>
      <c r="D44" s="109" t="inlineStr">
        <is>
          <t>~4.4% est. cap rate</t>
        </is>
      </c>
    </row>
    <row r="45">
      <c r="A45" s="97" t="inlineStr">
        <is>
          <t>Reference: NEXTDC S6 Artarmon 2024 (dossier §9.1)</t>
        </is>
      </c>
      <c r="B45" s="104" t="inlineStr"/>
      <c r="C45" s="104" t="inlineStr"/>
      <c r="D45" s="109" t="inlineStr">
        <is>
          <t>6.5% analysed yield (vacant possession)</t>
        </is>
      </c>
    </row>
    <row r="46"/>
    <row r="47">
      <c r="A47" s="93" t="inlineStr">
        <is>
          <t>E. Transaction comps (dossier §9.1 chronology)</t>
        </is>
      </c>
      <c r="B47" s="93" t="n"/>
      <c r="C47" s="93" t="n"/>
      <c r="D47" s="93" t="n"/>
      <c r="E47" s="93" t="n"/>
      <c r="F47" s="93" t="n"/>
      <c r="G47" s="93" t="n"/>
      <c r="H47" s="93" t="n"/>
    </row>
    <row r="48">
      <c r="A48" s="95" t="inlineStr">
        <is>
          <t>Date</t>
        </is>
      </c>
      <c r="B48" s="95" t="inlineStr">
        <is>
          <t>Deal</t>
        </is>
      </c>
      <c r="C48" s="95" t="inlineStr">
        <is>
          <t>EV (A$m)</t>
        </is>
      </c>
      <c r="D48" s="95" t="inlineStr">
        <is>
          <t>Multiple / metric</t>
        </is>
      </c>
      <c r="E48" s="95" t="inlineStr">
        <is>
          <t>Source #</t>
        </is>
      </c>
    </row>
    <row r="49">
      <c r="A49" s="96" t="inlineStr">
        <is>
          <t>2018</t>
        </is>
      </c>
      <c r="B49" s="97" t="inlineStr">
        <is>
          <t>Equinix acquires Metronode</t>
        </is>
      </c>
      <c r="C49" s="123" t="n">
        <v>1035</v>
      </c>
      <c r="D49" s="97" t="inlineStr">
        <is>
          <t>~16x EBITDA; ~US$8m/MW</t>
        </is>
      </c>
      <c r="E49" s="96" t="inlineStr">
        <is>
          <t>S-28</t>
        </is>
      </c>
    </row>
    <row r="50">
      <c r="A50" s="96" t="inlineStr">
        <is>
          <t>Jan 2019</t>
        </is>
      </c>
      <c r="B50" s="97" t="inlineStr">
        <is>
          <t>Brookfield acquires DCI from Blackstone</t>
        </is>
      </c>
      <c r="C50" s="123" t="n">
        <v>370</v>
      </c>
      <c r="D50" s="97" t="inlineStr">
        <is>
          <t>n/d (8.6 MW base)</t>
        </is>
      </c>
      <c r="E50" s="96" t="inlineStr">
        <is>
          <t>S-37</t>
        </is>
      </c>
    </row>
    <row r="51">
      <c r="A51" s="96" t="inlineStr">
        <is>
          <t>2020</t>
        </is>
      </c>
      <c r="B51" s="97" t="inlineStr">
        <is>
          <t>Centuria — Telstra Clayton sale-leaseback</t>
        </is>
      </c>
      <c r="C51" s="123" t="n">
        <v>416.7</v>
      </c>
      <c r="D51" s="97" t="inlineStr">
        <is>
          <t>4.2% yield; 30-yr lease</t>
        </is>
      </c>
      <c r="E51" s="96" t="inlineStr">
        <is>
          <t>S-19</t>
        </is>
      </c>
    </row>
    <row r="52">
      <c r="A52" s="96" t="inlineStr">
        <is>
          <t>2020</t>
        </is>
      </c>
      <c r="B52" s="97" t="inlineStr">
        <is>
          <t>Macquarie/PSP take 88% of AirTrunk</t>
        </is>
      </c>
      <c r="C52" s="123" t="n">
        <v>3000</v>
      </c>
      <c r="D52" s="97" t="inlineStr">
        <is>
          <t>~A$3bn EV</t>
        </is>
      </c>
      <c r="E52" s="96" t="inlineStr">
        <is>
          <t>S-18</t>
        </is>
      </c>
    </row>
    <row r="53">
      <c r="A53" s="96" t="inlineStr">
        <is>
          <t>Mar–Apr 2024</t>
        </is>
      </c>
      <c r="B53" s="97" t="inlineStr">
        <is>
          <t>NEXTDC acquires Artarmon (S6)</t>
        </is>
      </c>
      <c r="C53" s="96" t="inlineStr">
        <is>
          <t>184–202.4</t>
        </is>
      </c>
      <c r="D53" s="97" t="inlineStr">
        <is>
          <t>6.5% analysed yield (vacant possession)</t>
        </is>
      </c>
      <c r="E53" s="96" t="inlineStr">
        <is>
          <t>dossier §9.1</t>
        </is>
      </c>
    </row>
    <row r="54">
      <c r="A54" s="96" t="inlineStr">
        <is>
          <t>Apr 2024</t>
        </is>
      </c>
      <c r="B54" s="97" t="inlineStr">
        <is>
          <t>Macquarie Technology buys back IC2/IC3</t>
        </is>
      </c>
      <c r="C54" s="123" t="n">
        <v>174</v>
      </c>
      <c r="D54" s="111" t="inlineStr">
        <is>
          <t>n/d</t>
        </is>
      </c>
      <c r="E54" s="96" t="inlineStr">
        <is>
          <t>dossier §9.1</t>
        </is>
      </c>
    </row>
    <row r="55">
      <c r="A55" s="96" t="inlineStr">
        <is>
          <t>Dec 2024</t>
        </is>
      </c>
      <c r="B55" s="97" t="inlineStr">
        <is>
          <t>Blackstone/CPPIB acquire AirTrunk</t>
        </is>
      </c>
      <c r="C55" s="123" t="n">
        <v>24000</v>
      </c>
      <c r="D55" s="97" t="inlineStr">
        <is>
          <t>21x contracted EBITDA / ~87x trailing</t>
        </is>
      </c>
      <c r="E55" s="96" t="inlineStr">
        <is>
          <t>S-17; S-18; S-19</t>
        </is>
      </c>
    </row>
    <row r="56">
      <c r="A56" s="96" t="inlineStr">
        <is>
          <t>Dec 2024</t>
        </is>
      </c>
      <c r="B56" s="97" t="inlineStr">
        <is>
          <t>DigiCo — Global Switch Australia</t>
        </is>
      </c>
      <c r="C56" s="123" t="n">
        <v>1937</v>
      </c>
      <c r="D56" s="97" t="inlineStr">
        <is>
          <t>~24.7x EBITDA; ~4.4% cap rate</t>
        </is>
      </c>
      <c r="E56" s="96" t="inlineStr">
        <is>
          <t>S-19; S-30</t>
        </is>
      </c>
    </row>
    <row r="57">
      <c r="A57" s="96" t="inlineStr">
        <is>
          <t>Dec 2024</t>
        </is>
      </c>
      <c r="B57" s="97" t="inlineStr">
        <is>
          <t>DigiCo — iseek</t>
        </is>
      </c>
      <c r="C57" s="96" t="inlineStr">
        <is>
          <t>400–413</t>
        </is>
      </c>
      <c r="D57" s="97" t="inlineStr">
        <is>
          <t>~19x forecast FY25 earnings</t>
        </is>
      </c>
      <c r="E57" s="96" t="inlineStr">
        <is>
          <t>dossier §4.9</t>
        </is>
      </c>
    </row>
    <row r="58">
      <c r="A58" s="96" t="inlineStr">
        <is>
          <t>Dec 2024</t>
        </is>
      </c>
      <c r="B58" s="97" t="inlineStr">
        <is>
          <t>DigiCo REIT IPO (ASX:DGT)</t>
        </is>
      </c>
      <c r="C58" s="123" t="n">
        <v>2000</v>
      </c>
      <c r="D58" s="97" t="inlineStr">
        <is>
          <t>A$2.0bn raised @ A$5.00; −9% day one</t>
        </is>
      </c>
      <c r="E58" s="96" t="inlineStr">
        <is>
          <t>S-38</t>
        </is>
      </c>
    </row>
    <row r="59">
      <c r="A59" s="96" t="inlineStr">
        <is>
          <t>Feb 2025</t>
        </is>
      </c>
      <c r="B59" s="97" t="inlineStr">
        <is>
          <t>Infratil/Future Fund lift CDC stakes</t>
        </is>
      </c>
      <c r="C59" s="123" t="n">
        <v>17000</v>
      </c>
      <c r="D59" s="97" t="inlineStr">
        <is>
          <t>~A$17bn EV (A$13.7bn equity)</t>
        </is>
      </c>
      <c r="E59" s="96" t="inlineStr">
        <is>
          <t>S-24</t>
        </is>
      </c>
    </row>
    <row r="60">
      <c r="A60" s="96" t="inlineStr">
        <is>
          <t>May 2026</t>
        </is>
      </c>
      <c r="B60" s="97" t="inlineStr">
        <is>
          <t>DigiCo sells Chicago DC</t>
        </is>
      </c>
      <c r="C60" s="96" t="inlineStr">
        <is>
          <t>US$750</t>
        </is>
      </c>
      <c r="D60" s="111" t="inlineStr">
        <is>
          <t>n/d</t>
        </is>
      </c>
      <c r="E60" s="96" t="inlineStr">
        <is>
          <t>dossier §9.1</t>
        </is>
      </c>
    </row>
    <row r="61"/>
    <row r="62">
      <c r="A62" s="93" t="inlineStr">
        <is>
          <t>F. Implied stabilised value per 100 MW (A$m) = contracted EBITDA per MW × 100 ÷ cap rate</t>
        </is>
      </c>
      <c r="B62" s="93" t="n"/>
      <c r="C62" s="93" t="n"/>
      <c r="D62" s="93" t="n"/>
      <c r="E62" s="93" t="n"/>
      <c r="F62" s="93" t="n"/>
      <c r="G62" s="93" t="n"/>
      <c r="H62" s="93" t="n"/>
    </row>
    <row r="63">
      <c r="A63" s="96" t="inlineStr">
        <is>
          <t>Base anchors:</t>
        </is>
      </c>
      <c r="B63" s="135">
        <f>Assumptions!$E$32</f>
        <v>2</v>
      </c>
      <c r="C63" s="94" t="inlineStr">
        <is>
          <t>A$m EBITDA/MW/yr (CDC 1 GW ≈ A$2bn anchor, S-27)</t>
        </is>
      </c>
      <c r="D63" s="130">
        <f>Assumptions!$G$33</f>
        <v>0.057</v>
      </c>
      <c r="E63" s="94" t="inlineStr">
        <is>
          <t>cap rate (scenario-linked, M3/Colliers band, S-31)</t>
        </is>
      </c>
    </row>
    <row r="64"/>
    <row r="65">
      <c r="A65" s="95" t="inlineStr">
        <is>
          <t>EBITDA/MW (A$m) ↓  /  cap rate →</t>
        </is>
      </c>
      <c r="B65" s="145">
        <f>$D$63-0.0150</f>
        <v>0.042</v>
      </c>
      <c r="C65" s="145">
        <f>$D$63-0.0100</f>
        <v>0.047</v>
      </c>
      <c r="D65" s="145">
        <f>$D$63-0.0050</f>
        <v>0.052000000000000005</v>
      </c>
      <c r="E65" s="145">
        <f>$D$63+0.0000</f>
        <v>0.057</v>
      </c>
      <c r="F65" s="145">
        <f>$D$63+0.0050</f>
        <v>0.062</v>
      </c>
      <c r="G65" s="145">
        <f>$D$63+0.0100</f>
        <v>0.067</v>
      </c>
      <c r="H65" s="145">
        <f>$D$63+0.0150</f>
        <v>0.07200000000000001</v>
      </c>
    </row>
    <row r="66">
      <c r="A66" s="146">
        <f>$B$63-1.00</f>
        <v>1</v>
      </c>
      <c r="B66" s="124">
        <f>($A66*100)/B$65</f>
        <v>2380.9523809523807</v>
      </c>
      <c r="C66" s="124">
        <f>($A66*100)/C$65</f>
        <v>2127.659574468085</v>
      </c>
      <c r="D66" s="124">
        <f>($A66*100)/D$65</f>
        <v>1923.0769230769229</v>
      </c>
      <c r="E66" s="124">
        <f>($A66*100)/E$65</f>
        <v>1754.3859649122805</v>
      </c>
      <c r="F66" s="124">
        <f>($A66*100)/F$65</f>
        <v>1612.9032258064517</v>
      </c>
      <c r="G66" s="124">
        <f>($A66*100)/G$65</f>
        <v>1492.5373134328358</v>
      </c>
      <c r="H66" s="124">
        <f>($A66*100)/H$65</f>
        <v>1388.8888888888887</v>
      </c>
    </row>
    <row r="67">
      <c r="A67" s="146">
        <f>$B$63-0.75</f>
        <v>1.25</v>
      </c>
      <c r="B67" s="124">
        <f>($A67*100)/B$65</f>
        <v>2976.190476190476</v>
      </c>
      <c r="C67" s="124">
        <f>($A67*100)/C$65</f>
        <v>2659.574468085106</v>
      </c>
      <c r="D67" s="124">
        <f>($A67*100)/D$65</f>
        <v>2403.846153846154</v>
      </c>
      <c r="E67" s="124">
        <f>($A67*100)/E$65</f>
        <v>2192.9824561403507</v>
      </c>
      <c r="F67" s="124">
        <f>($A67*100)/F$65</f>
        <v>2016.1290322580646</v>
      </c>
      <c r="G67" s="124">
        <f>($A67*100)/G$65</f>
        <v>1865.6716417910447</v>
      </c>
      <c r="H67" s="124">
        <f>($A67*100)/H$65</f>
        <v>1736.1111111111109</v>
      </c>
    </row>
    <row r="68">
      <c r="A68" s="146">
        <f>$B$63-0.50</f>
        <v>1.5</v>
      </c>
      <c r="B68" s="124">
        <f>($A68*100)/B$65</f>
        <v>3571.428571428571</v>
      </c>
      <c r="C68" s="124">
        <f>($A68*100)/C$65</f>
        <v>3191.4893617021276</v>
      </c>
      <c r="D68" s="124">
        <f>($A68*100)/D$65</f>
        <v>2884.6153846153843</v>
      </c>
      <c r="E68" s="124">
        <f>($A68*100)/E$65</f>
        <v>2631.578947368421</v>
      </c>
      <c r="F68" s="124">
        <f>($A68*100)/F$65</f>
        <v>2419.3548387096776</v>
      </c>
      <c r="G68" s="124">
        <f>($A68*100)/G$65</f>
        <v>2238.8059701492534</v>
      </c>
      <c r="H68" s="124">
        <f>($A68*100)/H$65</f>
        <v>2083.333333333333</v>
      </c>
    </row>
    <row r="69">
      <c r="A69" s="146">
        <f>$B$63-0.25</f>
        <v>1.75</v>
      </c>
      <c r="B69" s="124">
        <f>($A69*100)/B$65</f>
        <v>4166.666666666666</v>
      </c>
      <c r="C69" s="124">
        <f>($A69*100)/C$65</f>
        <v>3723.404255319149</v>
      </c>
      <c r="D69" s="124">
        <f>($A69*100)/D$65</f>
        <v>3365.3846153846152</v>
      </c>
      <c r="E69" s="124">
        <f>($A69*100)/E$65</f>
        <v>3070.175438596491</v>
      </c>
      <c r="F69" s="124">
        <f>($A69*100)/F$65</f>
        <v>2822.5806451612902</v>
      </c>
      <c r="G69" s="124">
        <f>($A69*100)/G$65</f>
        <v>2611.9402985074626</v>
      </c>
      <c r="H69" s="124">
        <f>($A69*100)/H$65</f>
        <v>2430.555555555555</v>
      </c>
    </row>
    <row r="70">
      <c r="A70" s="146">
        <f>$B$63+0.00</f>
        <v>2</v>
      </c>
      <c r="B70" s="124">
        <f>($A70*100)/B$65</f>
        <v>4761.9047619047615</v>
      </c>
      <c r="C70" s="124">
        <f>($A70*100)/C$65</f>
        <v>4255.31914893617</v>
      </c>
      <c r="D70" s="124">
        <f>($A70*100)/D$65</f>
        <v>3846.1538461538457</v>
      </c>
      <c r="E70" s="136">
        <f>($A70*100)/E$65</f>
        <v>3508.771929824561</v>
      </c>
      <c r="F70" s="124">
        <f>($A70*100)/F$65</f>
        <v>3225.8064516129034</v>
      </c>
      <c r="G70" s="124">
        <f>($A70*100)/G$65</f>
        <v>2985.0746268656717</v>
      </c>
      <c r="H70" s="124">
        <f>($A70*100)/H$65</f>
        <v>2777.7777777777774</v>
      </c>
    </row>
    <row r="71">
      <c r="A71" s="146">
        <f>$B$63+0.25</f>
        <v>2.25</v>
      </c>
      <c r="B71" s="124">
        <f>($A71*100)/B$65</f>
        <v>5357.142857142857</v>
      </c>
      <c r="C71" s="124">
        <f>($A71*100)/C$65</f>
        <v>4787.234042553191</v>
      </c>
      <c r="D71" s="124">
        <f>($A71*100)/D$65</f>
        <v>4326.923076923076</v>
      </c>
      <c r="E71" s="124">
        <f>($A71*100)/E$65</f>
        <v>3947.368421052631</v>
      </c>
      <c r="F71" s="124">
        <f>($A71*100)/F$65</f>
        <v>3629.032258064516</v>
      </c>
      <c r="G71" s="124">
        <f>($A71*100)/G$65</f>
        <v>3358.2089552238804</v>
      </c>
      <c r="H71" s="124">
        <f>($A71*100)/H$65</f>
        <v>3124.9999999999995</v>
      </c>
    </row>
    <row r="72">
      <c r="A72" s="146">
        <f>$B$63+0.50</f>
        <v>2.5</v>
      </c>
      <c r="B72" s="124">
        <f>($A72*100)/B$65</f>
        <v>5952.380952380952</v>
      </c>
      <c r="C72" s="124">
        <f>($A72*100)/C$65</f>
        <v>5319.148936170212</v>
      </c>
      <c r="D72" s="124">
        <f>($A72*100)/D$65</f>
        <v>4807.692307692308</v>
      </c>
      <c r="E72" s="124">
        <f>($A72*100)/E$65</f>
        <v>4385.964912280701</v>
      </c>
      <c r="F72" s="124">
        <f>($A72*100)/F$65</f>
        <v>4032.2580645161293</v>
      </c>
      <c r="G72" s="124">
        <f>($A72*100)/G$65</f>
        <v>3731.3432835820895</v>
      </c>
      <c r="H72" s="124">
        <f>($A72*100)/H$65</f>
        <v>3472.2222222222217</v>
      </c>
    </row>
    <row r="73">
      <c r="A73" s="146">
        <f>$B$63+0.75</f>
        <v>2.75</v>
      </c>
      <c r="B73" s="124">
        <f>($A73*100)/B$65</f>
        <v>6547.619047619047</v>
      </c>
      <c r="C73" s="124">
        <f>($A73*100)/C$65</f>
        <v>5851.063829787234</v>
      </c>
      <c r="D73" s="124">
        <f>($A73*100)/D$65</f>
        <v>5288.461538461538</v>
      </c>
      <c r="E73" s="124">
        <f>($A73*100)/E$65</f>
        <v>4824.561403508772</v>
      </c>
      <c r="F73" s="124">
        <f>($A73*100)/F$65</f>
        <v>4435.483870967742</v>
      </c>
      <c r="G73" s="124">
        <f>($A73*100)/G$65</f>
        <v>4104.477611940299</v>
      </c>
      <c r="H73" s="124">
        <f>($A73*100)/H$65</f>
        <v>3819.444444444444</v>
      </c>
    </row>
    <row r="74">
      <c r="A74" s="146">
        <f>$B$63+1.00</f>
        <v>3</v>
      </c>
      <c r="B74" s="124">
        <f>($A74*100)/B$65</f>
        <v>7142.857142857142</v>
      </c>
      <c r="C74" s="124">
        <f>($A74*100)/C$65</f>
        <v>6382.978723404255</v>
      </c>
      <c r="D74" s="124">
        <f>($A74*100)/D$65</f>
        <v>5769.230769230769</v>
      </c>
      <c r="E74" s="124">
        <f>($A74*100)/E$65</f>
        <v>5263.157894736842</v>
      </c>
      <c r="F74" s="124">
        <f>($A74*100)/F$65</f>
        <v>4838.709677419355</v>
      </c>
      <c r="G74" s="124">
        <f>($A74*100)/G$65</f>
        <v>4477.611940298507</v>
      </c>
      <c r="H74" s="124">
        <f>($A74*100)/H$65</f>
        <v>4166.666666666666</v>
      </c>
    </row>
    <row r="75">
      <c r="A75" s="94" t="inlineStr">
        <is>
          <t>The centre cell of the grid is the base case: A$2.0m/MW EBITDA ÷ the scenario cap rate. Every grid cell is a live formula off the two anchor cells above it. Basis: CDC contracted-EBITDA-per-MW capitalised at the M3/Colliers band.</t>
        </is>
      </c>
    </row>
  </sheetData>
  <printOptions horizontalCentered="0"/>
  <pageMargins left="0.4" right="0.4" top="0.5" bottom="0.5" header="0.5" footer="0.5"/>
  <pageSetup orientation="landscape" fitToHeight="0" fitToWidth="1"/>
</worksheet>
</file>

<file path=xl/worksheets/sheet9.xml><?xml version="1.0" encoding="utf-8"?>
<worksheet xmlns="http://schemas.openxmlformats.org/spreadsheetml/2006/main">
  <sheetPr>
    <tabColor rgb="005B6B84"/>
    <outlinePr summaryBelow="1" summaryRight="1"/>
    <pageSetUpPr fitToPage="1"/>
  </sheetPr>
  <dimension ref="A1:K14"/>
  <sheetViews>
    <sheetView showGridLines="0" workbookViewId="0">
      <pane xSplit="1" ySplit="7" topLeftCell="B8" activePane="bottomRight" state="frozen"/>
      <selection pane="topRight" activeCell="A1" sqref="A1"/>
      <selection pane="bottomLeft" activeCell="A1" sqref="A1"/>
      <selection pane="bottomRight" activeCell="A1" sqref="A1"/>
    </sheetView>
  </sheetViews>
  <sheetFormatPr baseColWidth="8" defaultRowHeight="15"/>
  <cols>
    <col width="46" customWidth="1" min="1" max="1"/>
    <col width="11" customWidth="1" min="2" max="2"/>
    <col width="11" customWidth="1" min="3" max="3"/>
    <col width="7" customWidth="1" min="4" max="4"/>
    <col width="14" customWidth="1" min="5" max="5"/>
    <col width="14" customWidth="1" min="6" max="6"/>
    <col width="14" customWidth="1" min="7" max="7"/>
    <col width="14" customWidth="1" min="8" max="8"/>
    <col width="14" customWidth="1" min="9" max="9"/>
    <col width="12" customWidth="1" min="10" max="10"/>
    <col width="56" customWidth="1" min="11" max="11"/>
  </cols>
  <sheetData>
    <row r="1">
      <c r="A1" s="91" t="inlineStr">
        <is>
          <t>Sensitivity: driver impact on 2030E operational MW</t>
        </is>
      </c>
      <c r="B1" s="91" t="n"/>
      <c r="C1" s="91" t="n"/>
      <c r="D1" s="91" t="n"/>
      <c r="E1" s="91" t="n"/>
      <c r="F1" s="91" t="n"/>
      <c r="G1" s="91" t="n"/>
      <c r="H1" s="91" t="n"/>
      <c r="I1" s="91" t="n"/>
      <c r="J1" s="91" t="n"/>
      <c r="K1" s="91" t="n"/>
    </row>
    <row r="2">
      <c r="A2" s="92" t="inlineStr">
        <is>
          <t>Each driver varied alone, low vs high, holding all else at base. All cells are live formulas off Assumptions, Market_Sizing and Metro_Capacity.</t>
        </is>
      </c>
      <c r="B2" s="92" t="n"/>
      <c r="C2" s="92" t="n"/>
      <c r="D2" s="92" t="n"/>
      <c r="E2" s="92" t="n"/>
      <c r="F2" s="92" t="n"/>
      <c r="G2" s="92" t="n"/>
      <c r="H2" s="92" t="n"/>
      <c r="I2" s="92" t="n"/>
      <c r="J2" s="92" t="n"/>
      <c r="K2" s="92" t="n"/>
    </row>
    <row r="3"/>
    <row r="4">
      <c r="A4" s="96" t="inlineStr">
        <is>
          <t>Base case 2030E — top-down (Base scenario)</t>
        </is>
      </c>
      <c r="B4" s="118">
        <f>Market_Sizing!$J$14</f>
        <v>6000.000000000002</v>
      </c>
      <c r="C4" s="94" t="inlineStr">
        <is>
          <t>Base scenario row of Market_Sizing Section A</t>
        </is>
      </c>
    </row>
    <row r="5">
      <c r="A5" s="96" t="inlineStr">
        <is>
          <t>Base case 2030E — bottom-up (base delivery factors)</t>
        </is>
      </c>
      <c r="B5" s="118">
        <f>Market_Sizing!$B$26</f>
        <v>4387.68</v>
      </c>
      <c r="C5" s="94" t="inlineStr">
        <is>
          <t>Market_Sizing Section B</t>
        </is>
      </c>
    </row>
    <row r="6"/>
    <row r="7">
      <c r="A7" s="95" t="inlineStr">
        <is>
          <t>Driver (ranked by swing)</t>
        </is>
      </c>
      <c r="B7" s="95" t="inlineStr">
        <is>
          <t>Low</t>
        </is>
      </c>
      <c r="C7" s="95" t="inlineStr">
        <is>
          <t>High</t>
        </is>
      </c>
      <c r="D7" s="95" t="inlineStr">
        <is>
          <t>Unit</t>
        </is>
      </c>
      <c r="E7" s="95" t="inlineStr">
        <is>
          <t>2030 MW @ low</t>
        </is>
      </c>
      <c r="F7" s="95" t="inlineStr">
        <is>
          <t>2030 MW @ high</t>
        </is>
      </c>
      <c r="G7" s="95" t="inlineStr">
        <is>
          <t>Δ @ low vs base</t>
        </is>
      </c>
      <c r="H7" s="95" t="inlineStr">
        <is>
          <t>Δ @ high vs base</t>
        </is>
      </c>
      <c r="I7" s="95" t="inlineStr">
        <is>
          <t>Swing (max |Δ|)</t>
        </is>
      </c>
      <c r="J7" s="95" t="inlineStr">
        <is>
          <t>Model base</t>
        </is>
      </c>
    </row>
    <row r="8">
      <c r="A8" s="97" t="inlineStr">
        <is>
          <t>Implied CAGR 2025–30 (scenario spread: bear ↔ bull)</t>
        </is>
      </c>
      <c r="B8" s="130">
        <f>Market_Sizing!$B$6</f>
        <v>0.29935328030539643</v>
      </c>
      <c r="C8" s="130">
        <f>Market_Sizing!$B$8</f>
        <v>0.3573483621913067</v>
      </c>
      <c r="D8" s="108" t="inlineStr">
        <is>
          <t>%</t>
        </is>
      </c>
      <c r="E8" s="118">
        <f>Assumptions!$E$7*(1+B8)^5</f>
        <v>5000.000000000001</v>
      </c>
      <c r="F8" s="118">
        <f>Assumptions!$E$7*(1+C8)^5</f>
        <v>6220</v>
      </c>
      <c r="G8" s="117">
        <f>E8-J8</f>
        <v>-1000.0000000000009</v>
      </c>
      <c r="H8" s="117">
        <f>F8-J8</f>
        <v>219.99999999999818</v>
      </c>
      <c r="I8" s="117">
        <f>MAX(ABS(G8),ABS(H8))</f>
        <v>1000.0000000000009</v>
      </c>
      <c r="J8" s="117">
        <f>$B$4</f>
        <v>6000.000000000002</v>
      </c>
      <c r="K8" s="109" t="inlineStr">
        <is>
          <t>Top-down — scenario targets: bear 5,000 MW (S-44), bull built bottom-up at Assumptions #4. Both ends and the 2025 base are MW of operating IT load.</t>
        </is>
      </c>
    </row>
    <row r="9">
      <c r="A9" s="97" t="inlineStr">
        <is>
          <t>UC delivery factor (share of the under-construction pool completing by 2030)</t>
        </is>
      </c>
      <c r="B9" s="130">
        <f>Assumptions!$D$17</f>
        <v>0.5</v>
      </c>
      <c r="C9" s="130">
        <f>Assumptions!$F$17</f>
        <v>0.85</v>
      </c>
      <c r="D9" s="108" t="inlineStr">
        <is>
          <t>%</t>
        </is>
      </c>
      <c r="E9" s="118">
        <f>Assumptions!$E$7+(Metro_Capacity!$B$44*B9+Metro_Capacity!$B$45*Assumptions!$E$15)*Assumptions!$E$47</f>
        <v>3973.5</v>
      </c>
      <c r="F9" s="118">
        <f>Assumptions!$E$7+(Metro_Capacity!$B$44*C9+Metro_Capacity!$B$45*Assumptions!$E$15)*Assumptions!$E$47</f>
        <v>4778.85</v>
      </c>
      <c r="G9" s="117">
        <f>E9-J9</f>
        <v>-414.1800000000003</v>
      </c>
      <c r="H9" s="117">
        <f>F9-J9</f>
        <v>391.1700000000001</v>
      </c>
      <c r="I9" s="117">
        <f>MAX(ABS(G9),ABS(H9))</f>
        <v>414.1800000000003</v>
      </c>
      <c r="J9" s="117">
        <f>$B$5</f>
        <v>4387.68</v>
      </c>
      <c r="K9" s="109" t="inlineStr">
        <is>
          <t>Bottom-up — Assumptions #11 (anchor: 68% UC pre-commitment, S-11). Pipeline terms cross to the operating basis at Assumptions #41.</t>
        </is>
      </c>
    </row>
    <row r="10">
      <c r="A10" s="97" t="inlineStr">
        <is>
          <t>2025 starting operating capacity (CBRE range)</t>
        </is>
      </c>
      <c r="B10" s="118">
        <f>Assumptions!$D$7</f>
        <v>1300</v>
      </c>
      <c r="C10" s="118">
        <f>Assumptions!$F$7</f>
        <v>1500</v>
      </c>
      <c r="D10" s="108" t="inlineStr">
        <is>
          <t>MW</t>
        </is>
      </c>
      <c r="E10" s="118">
        <f>B10*(1+Market_Sizing!$B$7)^5</f>
        <v>5777.777777777779</v>
      </c>
      <c r="F10" s="118">
        <f>C10*(1+Market_Sizing!$B$7)^5</f>
        <v>6666.666666666668</v>
      </c>
      <c r="G10" s="117">
        <f>E10-J10</f>
        <v>-222.22222222222263</v>
      </c>
      <c r="H10" s="117">
        <f>F10-J10</f>
        <v>666.6666666666661</v>
      </c>
      <c r="I10" s="117">
        <f>MAX(ABS(G10),ABS(H10))</f>
        <v>666.6666666666661</v>
      </c>
      <c r="J10" s="117">
        <f>$B$4</f>
        <v>6000.000000000002</v>
      </c>
      <c r="K10" s="109" t="inlineStr">
        <is>
          <t>Top-down — 1,300 / 1,500 MW (S-08); base 1,350 (S-09)</t>
        </is>
      </c>
    </row>
    <row r="11">
      <c r="A11" s="97" t="inlineStr">
        <is>
          <t>Planned-pipeline deliverability (share of the planned pool delivering)</t>
        </is>
      </c>
      <c r="B11" s="121" t="n">
        <v>0.15</v>
      </c>
      <c r="C11" s="121" t="n">
        <v>0.35</v>
      </c>
      <c r="D11" s="108" t="inlineStr">
        <is>
          <t>%</t>
        </is>
      </c>
      <c r="E11" s="118">
        <f>Assumptions!$E$7+(Metro_Capacity!$B$44*Assumptions!$G$17+Metro_Capacity!$B$45*B11)*Assumptions!$E$47</f>
        <v>3798.48</v>
      </c>
      <c r="F11" s="118">
        <f>Assumptions!$E$7+(Metro_Capacity!$B$44*Assumptions!$G$17+Metro_Capacity!$B$45*C11)*Assumptions!$E$47</f>
        <v>4976.88</v>
      </c>
      <c r="G11" s="117">
        <f>E11-J11</f>
        <v>-589.2000000000003</v>
      </c>
      <c r="H11" s="117">
        <f>F11-J11</f>
        <v>589.1999999999998</v>
      </c>
      <c r="I11" s="117">
        <f>MAX(ABS(G11),ABS(H11))</f>
        <v>589.2000000000003</v>
      </c>
      <c r="J11" s="117">
        <f>$B$5</f>
        <v>4387.68</v>
      </c>
      <c r="K11" s="109" t="inlineStr">
        <is>
          <t>Bottom-up — inashanu estimate ±10pp around the 25% 'fully deliverable' anchor (S-11). The high end is the rate the bull case uses at Assumptions #39. Pipeline terms cross to the operating basis at Assumptions #41.</t>
        </is>
      </c>
    </row>
    <row r="12"/>
    <row r="13">
      <c r="A13" s="94" t="inlineStr">
        <is>
          <t>Method: one-at-a-time variation against each driver's own model base (top-down drivers vs the 6,000 MW base scenario; bottom-up drivers vs the bottom-up build). Interactions are not compounded — read swings as first-order.</t>
        </is>
      </c>
    </row>
    <row r="14">
      <c r="A14" s="94" t="inlineStr">
        <is>
          <t>Reading: the scenario CAGR spread still dominates, so which 2030 anchor you believe matters more than any execution parameter. UC delivery and pipeline deliverability are the next-largest levers. The 2025 base dispute of 1.3 to 1.5 GW is smallest. The spread narrowed on 21 September 2026 when the bull target was rebuilt on the operating IT load basis, which is the basis the 2025 figure and every other row here is measured on.</t>
        </is>
      </c>
    </row>
  </sheetData>
  <printOptions horizontalCentered="0"/>
  <pageMargins left="0.4" right="0.4" top="0.5" bottom="0.5" header="0.5" footer="0.5"/>
  <pageSetup orientation="landscape" fitToHeight="0" fitToWidth="1"/>
</worksheet>
</file>

<file path=xl/worksheets/sheet10.xml><?xml version="1.0" encoding="utf-8"?>
<worksheet xmlns="http://schemas.openxmlformats.org/spreadsheetml/2006/main">
  <sheetPr>
    <tabColor rgb="005B6B84"/>
    <outlinePr summaryBelow="1" summaryRight="1"/>
    <pageSetUpPr fitToPage="1"/>
  </sheetPr>
  <dimension ref="A1:J74"/>
  <sheetViews>
    <sheetView showGridLines="0" workbookViewId="0">
      <pane xSplit="2" ySplit="7" topLeftCell="C8" activePane="bottomRight" state="frozen"/>
      <selection pane="topRight" activeCell="A1" sqref="A1"/>
      <selection pane="bottomLeft" activeCell="A1" sqref="A1"/>
      <selection pane="bottomRight" activeCell="A1" sqref="A1"/>
    </sheetView>
  </sheetViews>
  <sheetFormatPr baseColWidth="8" defaultRowHeight="15"/>
  <cols>
    <col width="5" customWidth="1" min="1" max="1"/>
    <col width="44" customWidth="1" min="2" max="2"/>
    <col width="15" customWidth="1" min="3" max="3"/>
    <col width="13" customWidth="1" min="4" max="4"/>
    <col width="26" customWidth="1" min="5" max="5"/>
    <col width="16" customWidth="1" min="6" max="6"/>
    <col width="12" customWidth="1" min="7" max="7"/>
    <col width="46" customWidth="1" min="8" max="8"/>
    <col width="42" customWidth="1" min="9" max="9"/>
    <col width="46" customWidth="1" min="10" max="10"/>
  </cols>
  <sheetData>
    <row r="1">
      <c r="A1" s="91" t="inlineStr">
        <is>
          <t>Reconciliation: every published figure and the cell that produces it</t>
        </is>
      </c>
      <c r="B1" s="91" t="n"/>
      <c r="C1" s="91" t="n"/>
      <c r="D1" s="91" t="n"/>
      <c r="E1" s="91" t="n"/>
      <c r="F1" s="91" t="n"/>
      <c r="G1" s="91" t="n"/>
      <c r="H1" s="91" t="n"/>
      <c r="I1" s="91" t="n"/>
      <c r="J1" s="91" t="n"/>
    </row>
    <row r="2">
      <c r="A2" s="92" t="inlineStr">
        <is>
          <t>The workbook is the authority. The primer and the explorer are renderings of these cells. Column F recomputes live; if a published figure and its cell ever part company, column G says so. Column H names, for every figure, a file the site serves and the page or panel inside it: the primer PDF by page, the explorer by the panel a reader clicks, the workbook by cell. inashanu-site/scripts/citation-check.py opens each one and looks for the figure.</t>
        </is>
      </c>
      <c r="B2" s="92" t="n"/>
      <c r="C2" s="92" t="n"/>
      <c r="D2" s="92" t="n"/>
      <c r="E2" s="92" t="n"/>
      <c r="F2" s="92" t="n"/>
      <c r="G2" s="92" t="n"/>
      <c r="H2" s="92" t="n"/>
      <c r="I2" s="92" t="n"/>
      <c r="J2" s="92" t="n"/>
    </row>
    <row r="3"/>
    <row r="4">
      <c r="A4" s="94" t="inlineStr">
        <is>
          <t>As at 22 September 2026. Scenario selector Assumptions!C4 = 2 (Base). Figures marked 'all scenarios' do not move with the selector. Page citations in column H run on the pagination of the 85-page primer the site serves.</t>
        </is>
      </c>
    </row>
    <row r="5">
      <c r="A5" s="94" t="inlineStr">
        <is>
          <t>Column J states the basis each figure is measured on. It is there because a figure and its basis have to travel together: a citation can be accurate about the publisher and silent about the definition, and a ledger that records only the source cannot tell the two apart. Column J is prose for a reader. The identifier behind it, and the check that derives each figure's basis from its precedents rather than reading either, are on the Basis_Registry sheet.</t>
        </is>
      </c>
    </row>
    <row r="6"/>
    <row r="7">
      <c r="A7" s="95" t="inlineStr">
        <is>
          <t>#</t>
        </is>
      </c>
      <c r="B7" s="95" t="inlineStr">
        <is>
          <t>Figure as published</t>
        </is>
      </c>
      <c r="C7" s="95" t="inlineStr">
        <is>
          <t>Published value</t>
        </is>
      </c>
      <c r="D7" s="95" t="inlineStr">
        <is>
          <t>Unit</t>
        </is>
      </c>
      <c r="E7" s="95" t="inlineStr">
        <is>
          <t>Governing cell</t>
        </is>
      </c>
      <c r="F7" s="95" t="inlineStr">
        <is>
          <t>Live value from that cell</t>
        </is>
      </c>
      <c r="G7" s="95" t="inlineStr">
        <is>
          <t>Match</t>
        </is>
      </c>
      <c r="H7" s="95" t="inlineStr">
        <is>
          <t>Where it appears</t>
        </is>
      </c>
      <c r="I7" s="95" t="inlineStr">
        <is>
          <t>Source #</t>
        </is>
      </c>
      <c r="J7" s="95" t="inlineStr">
        <is>
          <t>Basis</t>
        </is>
      </c>
    </row>
    <row r="8">
      <c r="A8" s="106" t="n">
        <v>1</v>
      </c>
      <c r="B8" s="97" t="inlineStr">
        <is>
          <t>Operating IT load, end-2025</t>
        </is>
      </c>
      <c r="C8" s="115" t="n">
        <v>1350</v>
      </c>
      <c r="D8" s="108" t="inlineStr">
        <is>
          <t>MW</t>
        </is>
      </c>
      <c r="E8" s="110" t="inlineStr">
        <is>
          <t>Assumptions!E7</t>
        </is>
      </c>
      <c r="F8" s="118">
        <f>Assumptions!$E$7</f>
        <v>1350</v>
      </c>
      <c r="G8" s="100" t="str">
        <f>IF(ABS(F8-C8)&lt;=1,"match","MISMATCH")</f>
        <v>match</v>
      </c>
      <c r="H8" s="109" t="inlineStr">
        <is>
          <t>Primer p.4 national base stat; Primer p.63 scenario common start; explorer #tiles operating tile; explorer #regTable; workbook Assumptions!E7</t>
        </is>
      </c>
      <c r="I8" s="109" t="inlineStr">
        <is>
          <t>S-09 (11 May 2026); CBRE range S-08</t>
        </is>
      </c>
      <c r="J8" s="110" t="inlineStr">
        <is>
          <t>MW - operating IT load (national)</t>
        </is>
      </c>
    </row>
    <row r="9">
      <c r="A9" s="106" t="n">
        <v>2</v>
      </c>
      <c r="B9" s="97" t="inlineStr">
        <is>
          <t>2030 operating capacity — Bear</t>
        </is>
      </c>
      <c r="C9" s="115" t="n">
        <v>5000</v>
      </c>
      <c r="D9" s="108" t="inlineStr">
        <is>
          <t>MW</t>
        </is>
      </c>
      <c r="E9" s="110" t="inlineStr">
        <is>
          <t>Assumptions!E8</t>
        </is>
      </c>
      <c r="F9" s="118">
        <f>Assumptions!$E$8</f>
        <v>5000</v>
      </c>
      <c r="G9" s="100" t="str">
        <f>IF(ABS(F9-C9)&lt;=1,"match","MISMATCH")</f>
        <v>match</v>
      </c>
      <c r="H9" s="109" t="inlineStr">
        <is>
          <t>Primer p.62 scenario construction; Primer p.6 executive scenario table; Primer p.63 capacity paths; explorer #capChart; explorer #regTable; workbook Assumptions!E8</t>
        </is>
      </c>
      <c r="I9" s="109" t="inlineStr">
        <is>
          <t>S-44; S-09</t>
        </is>
      </c>
      <c r="J9" s="110" t="inlineStr">
        <is>
          <t>MW - operating IT load (national)</t>
        </is>
      </c>
    </row>
    <row r="10">
      <c r="A10" s="106" t="n">
        <v>3</v>
      </c>
      <c r="B10" s="97" t="inlineStr">
        <is>
          <t>2030 operating capacity — Base</t>
        </is>
      </c>
      <c r="C10" s="115" t="n">
        <v>6000</v>
      </c>
      <c r="D10" s="108" t="inlineStr">
        <is>
          <t>MW</t>
        </is>
      </c>
      <c r="E10" s="110" t="inlineStr">
        <is>
          <t>Assumptions!E9</t>
        </is>
      </c>
      <c r="F10" s="118">
        <f>Assumptions!$E$9</f>
        <v>6000</v>
      </c>
      <c r="G10" s="100" t="str">
        <f>IF(ABS(F10-C10)&lt;=1,"match","MISMATCH")</f>
        <v>match</v>
      </c>
      <c r="H10" s="109" t="inlineStr">
        <is>
          <t>Primer p.63 base-case path; Primer p.6 executive scenario table; Primer p.62 scenario construction; explorer #tiles 2030 tile; explorer #regTable; workbook Assumptions!E9</t>
        </is>
      </c>
      <c r="I10" s="109" t="inlineStr">
        <is>
          <t>S-33 (AEMO Step Change); S-44</t>
        </is>
      </c>
      <c r="J10" s="110" t="inlineStr">
        <is>
          <t>MW - operating IT load (national)</t>
        </is>
      </c>
    </row>
    <row r="11">
      <c r="A11" s="106" t="n">
        <v>4</v>
      </c>
      <c r="B11" s="97" t="inlineStr">
        <is>
          <t>2030 operating capacity — Bull</t>
        </is>
      </c>
      <c r="C11" s="115" t="n">
        <v>6220</v>
      </c>
      <c r="D11" s="108" t="inlineStr">
        <is>
          <t>MW</t>
        </is>
      </c>
      <c r="E11" s="110" t="inlineStr">
        <is>
          <t>Assumptions!E10</t>
        </is>
      </c>
      <c r="F11" s="118">
        <f>Assumptions!$E$10</f>
        <v>6220</v>
      </c>
      <c r="G11" s="100" t="str">
        <f>IF(ABS(F11-C11)&lt;=1,"match","MISMATCH")</f>
        <v>match</v>
      </c>
      <c r="H11" s="109" t="inlineStr">
        <is>
          <t>Primer p.63 bull build; Primer p.6 executive scenario table; Primer p.61 scenario architecture; explorer #capChart; explorer #regTable; workbook Assumptions!E10</t>
        </is>
      </c>
      <c r="I11" s="109" t="inlineStr">
        <is>
          <t>Built at Assumptions #4 from S-09 (2025 base) and the S-15/S-16/S-39/S-45/S-46 project pipeline at Assumptions #38, #39</t>
        </is>
      </c>
      <c r="J11" s="110" t="inlineStr">
        <is>
          <t>MW - operating IT load (national)</t>
        </is>
      </c>
    </row>
    <row r="12">
      <c r="A12" s="106" t="n">
        <v>5</v>
      </c>
      <c r="B12" s="97" t="inlineStr">
        <is>
          <t>Implied CAGR 2025–30 — Bear</t>
        </is>
      </c>
      <c r="C12" s="119" t="n">
        <v>0.2994</v>
      </c>
      <c r="D12" s="108" t="inlineStr">
        <is>
          <t>%</t>
        </is>
      </c>
      <c r="E12" s="110" t="inlineStr">
        <is>
          <t>Market_Sizing!B6</t>
        </is>
      </c>
      <c r="F12" s="130">
        <f>Market_Sizing!$B$6</f>
        <v>0.29935328030539643</v>
      </c>
      <c r="G12" s="100" t="str">
        <f>IF(ABS(F12-C12)&lt;=0.0005,"match","MISMATCH")</f>
        <v>match</v>
      </c>
      <c r="H12" s="109" t="inlineStr">
        <is>
          <t>Primer p.62 implied rates; Primer p.6 executive scenario table; Primer p.63 path labels; explorer #tornTable; explorer #regTable; workbook Market_Sizing!B6</t>
        </is>
      </c>
      <c r="I12" s="109" t="inlineStr">
        <is>
          <t>Formula: (5,000 ÷ 1,350)^(1/5) − 1</t>
        </is>
      </c>
      <c r="J12" s="110" t="inlineStr">
        <is>
          <t>growth rate - MW - operating IT load (national)</t>
        </is>
      </c>
    </row>
    <row r="13">
      <c r="A13" s="106" t="n">
        <v>6</v>
      </c>
      <c r="B13" s="97" t="inlineStr">
        <is>
          <t>Implied CAGR 2025–30 — Base</t>
        </is>
      </c>
      <c r="C13" s="119" t="n">
        <v>0.3476</v>
      </c>
      <c r="D13" s="108" t="inlineStr">
        <is>
          <t>%</t>
        </is>
      </c>
      <c r="E13" s="110" t="inlineStr">
        <is>
          <t>Market_Sizing!B7</t>
        </is>
      </c>
      <c r="F13" s="130">
        <f>Market_Sizing!$B$7</f>
        <v>0.3476077390266208</v>
      </c>
      <c r="G13" s="100" t="str">
        <f>IF(ABS(F13-C13)&lt;=0.0005,"match","MISMATCH")</f>
        <v>match</v>
      </c>
      <c r="H13" s="109" t="inlineStr">
        <is>
          <t>Primer p.62 implied rates; Primer p.6 executive scenario table; Primer p.63 path labels; explorer #tiles rate tile; explorer #regTable; workbook Market_Sizing!B7</t>
        </is>
      </c>
      <c r="I13" s="109" t="inlineStr">
        <is>
          <t>Formula: (6,000 ÷ 1,350)^(1/5) − 1</t>
        </is>
      </c>
      <c r="J13" s="110" t="inlineStr">
        <is>
          <t>growth rate - MW - operating IT load (national)</t>
        </is>
      </c>
    </row>
    <row r="14">
      <c r="A14" s="106" t="n">
        <v>7</v>
      </c>
      <c r="B14" s="97" t="inlineStr">
        <is>
          <t>Implied CAGR 2025–30 — Bull</t>
        </is>
      </c>
      <c r="C14" s="119" t="n">
        <v>0.3573</v>
      </c>
      <c r="D14" s="108" t="inlineStr">
        <is>
          <t>%</t>
        </is>
      </c>
      <c r="E14" s="110" t="inlineStr">
        <is>
          <t>Market_Sizing!B8</t>
        </is>
      </c>
      <c r="F14" s="130">
        <f>Market_Sizing!$B$8</f>
        <v>0.3573483621913067</v>
      </c>
      <c r="G14" s="100" t="str">
        <f>IF(ABS(F14-C14)&lt;=0.0005,"match","MISMATCH")</f>
        <v>match</v>
      </c>
      <c r="H14" s="109" t="inlineStr">
        <is>
          <t>Primer p.62 implied rates; Primer p.6 executive scenario table; Primer p.63 path labels; explorer #regTable; workbook Market_Sizing!B8</t>
        </is>
      </c>
      <c r="I14" s="109" t="inlineStr">
        <is>
          <t>Formula: (6,220 ÷ 1,350)^(1/5) − 1</t>
        </is>
      </c>
      <c r="J14" s="110" t="inlineStr">
        <is>
          <t>growth rate - MW - operating IT load (national)</t>
        </is>
      </c>
    </row>
    <row r="15">
      <c r="A15" s="106" t="n">
        <v>8</v>
      </c>
      <c r="B15" s="97" t="inlineStr">
        <is>
          <t>Core services market revenue, 2026</t>
        </is>
      </c>
      <c r="C15" s="123" t="n">
        <v>5.6</v>
      </c>
      <c r="D15" s="108" t="inlineStr">
        <is>
          <t>A$bn</t>
        </is>
      </c>
      <c r="E15" s="110" t="inlineStr">
        <is>
          <t>Assumptions!E42</t>
        </is>
      </c>
      <c r="F15" s="135">
        <f>Assumptions!$E$42</f>
        <v>5.6</v>
      </c>
      <c r="G15" s="100" t="str">
        <f>IF(ABS(F15-C15)&lt;=0.01,"match","MISMATCH")</f>
        <v>match</v>
      </c>
      <c r="H15" s="109" t="inlineStr">
        <is>
          <t>Primer p.13 sizing build; Primer p.4 key-figure strip; Primer p.64 revenue paths; explorer #revNote; explorer #regTable; workbook Assumptions!E42</t>
        </is>
      </c>
      <c r="I15" s="109" t="inlineStr">
        <is>
          <t>S-01 + S-02 (IBISWorld J5921 + OD5323)</t>
        </is>
      </c>
      <c r="J15" s="110" t="inlineStr">
        <is>
          <t>A$bn - ANZSIC J5921+OD5323 services revenue</t>
        </is>
      </c>
    </row>
    <row r="16">
      <c r="A16" s="106" t="n">
        <v>9</v>
      </c>
      <c r="B16" s="97" t="inlineStr">
        <is>
          <t>Core services revenue 2030 — Bear</t>
        </is>
      </c>
      <c r="C16" s="123" t="n">
        <v>7.62</v>
      </c>
      <c r="D16" s="108" t="inlineStr">
        <is>
          <t>A$bn</t>
        </is>
      </c>
      <c r="E16" s="110" t="inlineStr">
        <is>
          <t>Market_Sizing!J31</t>
        </is>
      </c>
      <c r="F16" s="135">
        <f>Market_Sizing!$J$31</f>
        <v>7.618738176000003</v>
      </c>
      <c r="G16" s="100" t="str">
        <f>IF(ABS(F16-C16)&lt;=0.02,"match","MISMATCH")</f>
        <v>match</v>
      </c>
      <c r="H16" s="109" t="inlineStr">
        <is>
          <t>Primer p.64 revenue chart; Primer p.6 executive scenario table; explorer #revChart; explorer #regTable; workbook Market_Sizing!J31</t>
        </is>
      </c>
      <c r="I16" s="109" t="inlineStr">
        <is>
          <t>Assumptions #37 low (8% p.a.)</t>
        </is>
      </c>
      <c r="J16" s="110" t="inlineStr">
        <is>
          <t>A$bn - ANZSIC J5921+OD5323 services revenue</t>
        </is>
      </c>
    </row>
    <row r="17">
      <c r="A17" s="106" t="n">
        <v>10</v>
      </c>
      <c r="B17" s="97" t="inlineStr">
        <is>
          <t>Core services revenue 2030 — Base</t>
        </is>
      </c>
      <c r="C17" s="123" t="n">
        <v>8.81</v>
      </c>
      <c r="D17" s="108" t="inlineStr">
        <is>
          <t>A$bn</t>
        </is>
      </c>
      <c r="E17" s="110" t="inlineStr">
        <is>
          <t>Market_Sizing!J32</t>
        </is>
      </c>
      <c r="F17" s="135">
        <f>Market_Sizing!$J$32</f>
        <v>8.811708416000002</v>
      </c>
      <c r="G17" s="100" t="str">
        <f>IF(ABS(F17-C17)&lt;=0.02,"match","MISMATCH")</f>
        <v>match</v>
      </c>
      <c r="H17" s="109" t="inlineStr">
        <is>
          <t>Primer p.64 revenue chart; Primer p.6 executive scenario table; Primer p.71 outlook; explorer #revChart; explorer #regTable; workbook Market_Sizing!J32</t>
        </is>
      </c>
      <c r="I17" s="109" t="inlineStr">
        <is>
          <t>Assumptions #37 base (12% p.a.)</t>
        </is>
      </c>
      <c r="J17" s="110" t="inlineStr">
        <is>
          <t>A$bn - ANZSIC J5921+OD5323 services revenue</t>
        </is>
      </c>
    </row>
    <row r="18">
      <c r="A18" s="106" t="n">
        <v>11</v>
      </c>
      <c r="B18" s="97" t="inlineStr">
        <is>
          <t>Core services revenue 2030 — Bull</t>
        </is>
      </c>
      <c r="C18" s="123" t="n">
        <v>10.14</v>
      </c>
      <c r="D18" s="108" t="inlineStr">
        <is>
          <t>A$bn</t>
        </is>
      </c>
      <c r="E18" s="110" t="inlineStr">
        <is>
          <t>Market_Sizing!J33</t>
        </is>
      </c>
      <c r="F18" s="135">
        <f>Market_Sizing!$J$33</f>
        <v>10.139580415999996</v>
      </c>
      <c r="G18" s="100" t="str">
        <f>IF(ABS(F18-C18)&lt;=0.02,"match","MISMATCH")</f>
        <v>match</v>
      </c>
      <c r="H18" s="109" t="inlineStr">
        <is>
          <t>Primer p.64 revenue chart; Primer p.6 executive scenario table; explorer #revChart; explorer #regTable; workbook Market_Sizing!J33</t>
        </is>
      </c>
      <c r="I18" s="109" t="inlineStr">
        <is>
          <t>Assumptions #37 high (16% p.a.)</t>
        </is>
      </c>
      <c r="J18" s="110" t="inlineStr">
        <is>
          <t>A$bn - ANZSIC J5921+OD5323 services revenue</t>
        </is>
      </c>
    </row>
    <row r="19">
      <c r="A19" s="106" t="n">
        <v>12</v>
      </c>
      <c r="B19" s="97" t="inlineStr">
        <is>
          <t>Wholesale-inclusive upper bound, 2030 (base)</t>
        </is>
      </c>
      <c r="C19" s="123" t="n">
        <v>19.36</v>
      </c>
      <c r="D19" s="108" t="inlineStr">
        <is>
          <t>A$bn</t>
        </is>
      </c>
      <c r="E19" s="110" t="inlineStr">
        <is>
          <t>Market_Sizing!J37</t>
        </is>
      </c>
      <c r="F19" s="135">
        <f>Market_Sizing!$J$37</f>
        <v>19.363636363636367</v>
      </c>
      <c r="G19" s="100" t="str">
        <f>IF(ABS(F19-C19)&lt;=0.05,"match","MISMATCH")</f>
        <v>match</v>
      </c>
      <c r="H19" s="109" t="inlineStr">
        <is>
          <t>explorer #outs workbench output; explorer #regTable; workbook Market_Sizing!J37; note: the primer does not print the wholesale-inclusive upper bound; the three market scopes it is built across are set out at page 12</t>
        </is>
      </c>
      <c r="I19" s="109" t="inlineStr">
        <is>
          <t>Operating MW × CBRE Sydney midpoint at FX 0.66 (S-07)</t>
        </is>
      </c>
      <c r="J19" s="110" t="inlineStr">
        <is>
          <t>A$bn - operating IT load at CBRE retail colocation pricing</t>
        </is>
      </c>
    </row>
    <row r="20">
      <c r="A20" s="106" t="n">
        <v>13</v>
      </c>
      <c r="B20" s="97" t="inlineStr">
        <is>
          <t>Upper bound ÷ core services revenue, 2030</t>
        </is>
      </c>
      <c r="C20" s="128" t="n">
        <v>2.2</v>
      </c>
      <c r="D20" s="108" t="inlineStr">
        <is>
          <t>x</t>
        </is>
      </c>
      <c r="E20" s="110" t="inlineStr">
        <is>
          <t>Market_Sizing!J38</t>
        </is>
      </c>
      <c r="F20" s="140">
        <f>Market_Sizing!$J$38</f>
        <v>2.197489459419303</v>
      </c>
      <c r="G20" s="100" t="str">
        <f>IF(ABS(F20-C20)&lt;=0.05,"match","MISMATCH")</f>
        <v>match</v>
      </c>
      <c r="H20" s="109" t="inlineStr">
        <is>
          <t>explorer #regTable; workbook Market_Sizing!J38; note: the ratio is not printed in the primer; page 12 sets out the three scopes it compares and page 11 the A$3.5bn to A$7.3bn spread between published estimates</t>
        </is>
      </c>
      <c r="I20" s="109" t="inlineStr">
        <is>
          <t>Measures what the ANZSIC scope excludes</t>
        </is>
      </c>
      <c r="J20" s="110" t="inlineStr">
        <is>
          <t>ratio - wholesale-inclusive upper bound over core services revenue</t>
        </is>
      </c>
    </row>
    <row r="21">
      <c r="A21" s="106" t="n">
        <v>14</v>
      </c>
      <c r="B21" s="97" t="inlineStr">
        <is>
          <t>Colocation revenue per MW</t>
        </is>
      </c>
      <c r="C21" s="123" t="n">
        <v>3.23</v>
      </c>
      <c r="D21" s="108" t="inlineStr">
        <is>
          <t>A$m/MW/yr</t>
        </is>
      </c>
      <c r="E21" s="110" t="inlineStr">
        <is>
          <t>Market_Sizing!B46</t>
        </is>
      </c>
      <c r="F21" s="135">
        <f>Market_Sizing!$B$46</f>
        <v>3.227272727272727</v>
      </c>
      <c r="G21" s="100" t="str">
        <f>IF(ABS(F21-C21)&lt;=0.01,"match","MISMATCH")</f>
        <v>match</v>
      </c>
      <c r="H21" s="109" t="inlineStr">
        <is>
          <t>explorer #regTable; workbook Market_Sizing!B46; note: the primer's per-megawatt cross-check at page 64 runs the other way, from base-case revenue over base-case capacity at about A$1.47m per MW a year; this colocation-priced figure is not printed</t>
        </is>
      </c>
      <c r="I21" s="109" t="inlineStr">
        <is>
          <t>S-07 (CBRE, Q1 2025) at FX 0.66</t>
        </is>
      </c>
      <c r="J21" s="110" t="inlineStr">
        <is>
          <t>A$m per MW of IT load per year - CBRE Sydney 250-500 kW pricing</t>
        </is>
      </c>
    </row>
    <row r="22">
      <c r="A22" s="106" t="n">
        <v>15</v>
      </c>
      <c r="B22" s="97" t="inlineStr">
        <is>
          <t>CDC contracted EBITDA per MW deployed</t>
        </is>
      </c>
      <c r="C22" s="123" t="n">
        <v>2</v>
      </c>
      <c r="D22" s="108" t="inlineStr">
        <is>
          <t>A$m/MW/yr</t>
        </is>
      </c>
      <c r="E22" s="110" t="inlineStr">
        <is>
          <t>Assumptions!E32</t>
        </is>
      </c>
      <c r="F22" s="135">
        <f>Assumptions!$E$32</f>
        <v>2</v>
      </c>
      <c r="G22" s="100" t="str">
        <f>IF(ABS(F22-C22)&lt;=0.01,"match","MISMATCH")</f>
        <v>match</v>
      </c>
      <c r="H22" s="109" t="inlineStr">
        <is>
          <t>Primer p.51 economics page; Primer p.53 economics dashboard; Primer p.50 per-megawatt economics; explorer #regTable; workbook Assumptions!E32</t>
        </is>
      </c>
      <c r="I22" s="109" t="inlineStr">
        <is>
          <t>S-27 (Bloomberg via Energy Connects, 6 May 2026)</t>
        </is>
      </c>
      <c r="J22" s="110" t="inlineStr">
        <is>
          <t>A$m per MW of IT load per year</t>
        </is>
      </c>
    </row>
    <row r="23">
      <c r="A23" s="106" t="n">
        <v>16</v>
      </c>
      <c r="B23" s="97" t="inlineStr">
        <is>
          <t>Implied asset-level EBITDA margin</t>
        </is>
      </c>
      <c r="C23" s="119" t="n">
        <v>0.6196</v>
      </c>
      <c r="D23" s="108" t="inlineStr">
        <is>
          <t>%</t>
        </is>
      </c>
      <c r="E23" s="110" t="inlineStr">
        <is>
          <t>Market_Sizing!B48</t>
        </is>
      </c>
      <c r="F23" s="130">
        <f>Market_Sizing!$B$48</f>
        <v>0.619718309859155</v>
      </c>
      <c r="G23" s="100" t="str">
        <f>IF(ABS(F23-C23)&lt;=0.005,"match","MISMATCH")</f>
        <v>match</v>
      </c>
      <c r="H23" s="109" t="inlineStr">
        <is>
          <t>explorer #regTable; workbook Market_Sizing!B48; note: the primer does not print the implied asset-level margin; the disclosed NEXTDC margins it is bracketed against are at page 50</t>
        </is>
      </c>
      <c r="I23" s="109" t="inlineStr">
        <is>
          <t>EBITDA per MW ÷ revenue per MW</t>
        </is>
      </c>
      <c r="J23" s="110" t="inlineStr">
        <is>
          <t>ratio - EBITDA per MW over colocation revenue per MW, deployed-MW denominator</t>
        </is>
      </c>
    </row>
    <row r="24">
      <c r="A24" s="106" t="n">
        <v>17</v>
      </c>
      <c r="B24" s="97" t="inlineStr">
        <is>
          <t>Projects in the pipeline table</t>
        </is>
      </c>
      <c r="C24" s="115" t="n">
        <v>24</v>
      </c>
      <c r="D24" s="108" t="inlineStr">
        <is>
          <t>count</t>
        </is>
      </c>
      <c r="E24" s="110" t="inlineStr">
        <is>
          <t>COUNTA(Metro_Capacity!B18:B41)</t>
        </is>
      </c>
      <c r="F24" s="118">
        <f>COUNTA(Metro_Capacity!$B$18:$B$41)</f>
        <v>24</v>
      </c>
      <c r="G24" s="100" t="str">
        <f>IF(ABS(F24-C24)&lt;=0,"match","MISMATCH")</f>
        <v>match</v>
      </c>
      <c r="H24" s="109" t="inlineStr">
        <is>
          <t>Primer p.63 bull build; explorer #projCount; explorer #regTable; workbook Metro_Capacity B18:B41; note: the primer prints the table itself across pages 27 and 28, where the running tally reads 22 and excludes the two rows carrying no disclosed megawatts</t>
        </is>
      </c>
      <c r="I24" s="109" t="inlineStr">
        <is>
          <t>Dossier §6.1 plus Addendum A1</t>
        </is>
      </c>
      <c r="J24" s="110" t="inlineStr">
        <is>
          <t>count - dossier §6.1 project universe</t>
        </is>
      </c>
    </row>
    <row r="25">
      <c r="A25" s="106" t="n">
        <v>18</v>
      </c>
      <c r="B25" s="97" t="inlineStr">
        <is>
          <t>National pipeline — under construction</t>
        </is>
      </c>
      <c r="C25" s="115" t="n">
        <v>2301</v>
      </c>
      <c r="D25" s="108" t="inlineStr">
        <is>
          <t>MW</t>
        </is>
      </c>
      <c r="E25" s="110" t="inlineStr">
        <is>
          <t>Metro_Capacity!B44</t>
        </is>
      </c>
      <c r="F25" s="118">
        <f>Metro_Capacity!$B$44</f>
        <v>2301</v>
      </c>
      <c r="G25" s="100" t="str">
        <f>IF(ABS(F25-C25)&lt;=1,"match","MISMATCH")</f>
        <v>match</v>
      </c>
      <c r="H25" s="109" t="inlineStr">
        <is>
          <t>Primer p.63 bull build; explorer #tiles under-construction tile; explorer #regTable; workbook Metro_Capacity!B44</t>
        </is>
      </c>
      <c r="I25" s="109" t="inlineStr">
        <is>
          <t>SUMIFS on class column; Firmus at its funded phase only</t>
        </is>
      </c>
      <c r="J25" s="110" t="inlineStr">
        <is>
          <t>MW - announced project capacity</t>
        </is>
      </c>
    </row>
    <row r="26">
      <c r="A26" s="106" t="n">
        <v>19</v>
      </c>
      <c r="B26" s="97" t="inlineStr">
        <is>
          <t>National pipeline — planned / proposed</t>
        </is>
      </c>
      <c r="C26" s="115" t="n">
        <v>5892</v>
      </c>
      <c r="D26" s="108" t="inlineStr">
        <is>
          <t>MW</t>
        </is>
      </c>
      <c r="E26" s="110" t="inlineStr">
        <is>
          <t>Metro_Capacity!B45</t>
        </is>
      </c>
      <c r="F26" s="118">
        <f>Metro_Capacity!$B$45</f>
        <v>5892</v>
      </c>
      <c r="G26" s="100" t="str">
        <f>IF(ABS(F26-C26)&lt;=1,"match","MISMATCH")</f>
        <v>match</v>
      </c>
      <c r="H26" s="109" t="inlineStr">
        <is>
          <t>Primer p.63 bull build; explorer #tiles planned tile; explorer #regTable; workbook Metro_Capacity!B45</t>
        </is>
      </c>
      <c r="I26" s="109" t="inlineStr">
        <is>
          <t>SUMIFS on class column; two projects disclose no MW</t>
        </is>
      </c>
      <c r="J26" s="110" t="inlineStr">
        <is>
          <t>MW - announced project capacity</t>
        </is>
      </c>
    </row>
    <row r="27">
      <c r="A27" s="106" t="n">
        <v>20</v>
      </c>
      <c r="B27" s="97" t="inlineStr">
        <is>
          <t>Total visible pipeline</t>
        </is>
      </c>
      <c r="C27" s="115" t="n">
        <v>8193</v>
      </c>
      <c r="D27" s="108" t="inlineStr">
        <is>
          <t>MW</t>
        </is>
      </c>
      <c r="E27" s="110" t="inlineStr">
        <is>
          <t>Metro_Capacity!B47</t>
        </is>
      </c>
      <c r="F27" s="118">
        <f>Metro_Capacity!$B$47</f>
        <v>8193</v>
      </c>
      <c r="G27" s="100" t="str">
        <f>IF(ABS(F27-C27)&lt;=1,"match","MISMATCH")</f>
        <v>match</v>
      </c>
      <c r="H27" s="109" t="inlineStr">
        <is>
          <t>explorer #tiles total visible pipeline tile; explorer #regTable; workbook Metro_Capacity!B47; note: the primer prints the two pools this sums at page 63, 2,301 MW under construction and 5,892 MW planned, and not the total</t>
        </is>
      </c>
      <c r="I27" s="109" t="inlineStr">
        <is>
          <t>UC + planned</t>
        </is>
      </c>
      <c r="J27" s="110" t="inlineStr">
        <is>
          <t>MW - announced project capacity</t>
        </is>
      </c>
    </row>
    <row r="28">
      <c r="A28" s="106" t="n">
        <v>21</v>
      </c>
      <c r="B28" s="97" t="inlineStr">
        <is>
          <t>Firmus Southgate 2028 target balance (excluded)</t>
        </is>
      </c>
      <c r="C28" s="115" t="n">
        <v>1450</v>
      </c>
      <c r="D28" s="108" t="inlineStr">
        <is>
          <t>MW</t>
        </is>
      </c>
      <c r="E28" s="110" t="inlineStr">
        <is>
          <t>Metro_Capacity!B48</t>
        </is>
      </c>
      <c r="F28" s="118">
        <f>Metro_Capacity!$B$48</f>
        <v>1450</v>
      </c>
      <c r="G28" s="100" t="str">
        <f>IF(ABS(F28-C28)&lt;=1,"match","MISMATCH")</f>
        <v>match</v>
      </c>
      <c r="H28" s="109" t="inlineStr">
        <is>
          <t>Primer p.63 bull build; explorer #projNote; explorer #regTable; workbook Metro_Capacity!B48</t>
        </is>
      </c>
      <c r="I28" s="109" t="inlineStr">
        <is>
          <t>S-15; dossier §4.9, §6.1</t>
        </is>
      </c>
      <c r="J28" s="110" t="inlineStr">
        <is>
          <t>MW - announced project capacity</t>
        </is>
      </c>
    </row>
    <row r="29">
      <c r="A29" s="106" t="n">
        <v>22</v>
      </c>
      <c r="B29" s="97" t="inlineStr">
        <is>
          <t>Bottom-up 2030E total</t>
        </is>
      </c>
      <c r="C29" s="115" t="n">
        <v>4388</v>
      </c>
      <c r="D29" s="108" t="inlineStr">
        <is>
          <t>MW</t>
        </is>
      </c>
      <c r="E29" s="110" t="inlineStr">
        <is>
          <t>Market_Sizing!B26</t>
        </is>
      </c>
      <c r="F29" s="118">
        <f>Market_Sizing!$B$26</f>
        <v>4387.68</v>
      </c>
      <c r="G29" s="100" t="str">
        <f>IF(ABS(F29-C29)&lt;=2,"match","MISMATCH")</f>
        <v>match</v>
      </c>
      <c r="H29" s="109" t="inlineStr">
        <is>
          <t>explorer #tiles bottom-up tile; explorer #regTable; workbook Market_Sizing!B26; note: the primer builds the bull case from the same pipeline at page 63 and does not print this base-case bottom-up total</t>
        </is>
      </c>
      <c r="I29" s="109" t="inlineStr">
        <is>
          <t>Base scenario: operating base + 68% of UC + 25% of planned. Bull scenario: 100% of UC + 35% of planned and the Firmus balance.</t>
        </is>
      </c>
      <c r="J29" s="110" t="inlineStr">
        <is>
          <t>MW - operating IT load (national)</t>
        </is>
      </c>
    </row>
    <row r="30">
      <c r="A30" s="106" t="n">
        <v>23</v>
      </c>
      <c r="B30" s="97" t="inlineStr">
        <is>
          <t>Top-down less bottom-up gap (base)</t>
        </is>
      </c>
      <c r="C30" s="115" t="n">
        <v>1612</v>
      </c>
      <c r="D30" s="108" t="inlineStr">
        <is>
          <t>MW</t>
        </is>
      </c>
      <c r="E30" s="110" t="inlineStr">
        <is>
          <t>Market_Sizing!B27</t>
        </is>
      </c>
      <c r="F30" s="118">
        <f>Market_Sizing!$B$27</f>
        <v>1612.3200000000015</v>
      </c>
      <c r="G30" s="100" t="str">
        <f>IF(ABS(F30-C30)&lt;=2,"match","MISMATCH")</f>
        <v>match</v>
      </c>
      <c r="H30" s="109" t="inlineStr">
        <is>
          <t>explorer #capNote; explorer #regTable; workbook Market_Sizing!B27; note: the primer does not print the gap between the top-down base case and the bottom-up build</t>
        </is>
      </c>
      <c r="I30" s="109" t="inlineStr">
        <is>
          <t>6,000 MW scenario less the visible bottom-up build</t>
        </is>
      </c>
      <c r="J30" s="110" t="inlineStr">
        <is>
          <t>MW - operating IT load (national)</t>
        </is>
      </c>
    </row>
    <row r="31">
      <c r="A31" s="106" t="n">
        <v>24</v>
      </c>
      <c r="B31" s="97" t="inlineStr">
        <is>
          <t>Sydney operating MW, 2025</t>
        </is>
      </c>
      <c r="C31" s="115" t="n">
        <v>810</v>
      </c>
      <c r="D31" s="108" t="inlineStr">
        <is>
          <t>MW</t>
        </is>
      </c>
      <c r="E31" s="110" t="inlineStr">
        <is>
          <t>Metro_Capacity!C6</t>
        </is>
      </c>
      <c r="F31" s="118">
        <f>Metro_Capacity!$C$6</f>
        <v>810</v>
      </c>
      <c r="G31" s="100" t="str">
        <f>IF(ABS(F31-C31)&lt;=0.1,"match","MISMATCH")</f>
        <v>match</v>
      </c>
      <c r="H31" s="109" t="inlineStr">
        <is>
          <t>explorer #metroTable Sydney row; explorer #regTable; workbook Metro_Capacity!C6; note: the primer's metro section at pages 16 to 21 sets out each metro without printing an operating megawatt figure for it</t>
        </is>
      </c>
      <c r="I31" s="109" t="inlineStr">
        <is>
          <t>60% sourced share × 1,350 MW (S-03; S-14)</t>
        </is>
      </c>
      <c r="J31" s="110" t="inlineStr">
        <is>
          <t>MW - operating IT load (national)</t>
        </is>
      </c>
    </row>
    <row r="32">
      <c r="A32" s="106" t="n">
        <v>25</v>
      </c>
      <c r="B32" s="97" t="inlineStr">
        <is>
          <t>Melbourne operating MW, 2025</t>
        </is>
      </c>
      <c r="C32" s="128" t="n">
        <v>337.5</v>
      </c>
      <c r="D32" s="108" t="inlineStr">
        <is>
          <t>MW</t>
        </is>
      </c>
      <c r="E32" s="110" t="inlineStr">
        <is>
          <t>Metro_Capacity!C7</t>
        </is>
      </c>
      <c r="F32" s="140">
        <f>Metro_Capacity!$C$7</f>
        <v>337.5</v>
      </c>
      <c r="G32" s="100" t="str">
        <f>IF(ABS(F32-C32)&lt;=0.1,"match","MISMATCH")</f>
        <v>match</v>
      </c>
      <c r="H32" s="109" t="inlineStr">
        <is>
          <t>explorer #metroTable Melbourne row; explorer #regTable; workbook Metro_Capacity!C7; note: the primer's metro section at pages 16 to 21 sets out each metro without printing an operating megawatt figure for it</t>
        </is>
      </c>
      <c r="I32" s="109" t="inlineStr">
        <is>
          <t>inashanu estimate share (Assumptions #29)</t>
        </is>
      </c>
      <c r="J32" s="110" t="inlineStr">
        <is>
          <t>MW - operating IT load (national)</t>
        </is>
      </c>
    </row>
    <row r="33">
      <c r="A33" s="106" t="n">
        <v>26</v>
      </c>
      <c r="B33" s="97" t="inlineStr">
        <is>
          <t>Brisbane operating MW, 2025</t>
        </is>
      </c>
      <c r="C33" s="115" t="n">
        <v>81</v>
      </c>
      <c r="D33" s="108" t="inlineStr">
        <is>
          <t>MW</t>
        </is>
      </c>
      <c r="E33" s="110" t="inlineStr">
        <is>
          <t>Metro_Capacity!C8</t>
        </is>
      </c>
      <c r="F33" s="118">
        <f>Metro_Capacity!$C$8</f>
        <v>81</v>
      </c>
      <c r="G33" s="100" t="str">
        <f>IF(ABS(F33-C33)&lt;=0.1,"match","MISMATCH")</f>
        <v>match</v>
      </c>
      <c r="H33" s="109" t="inlineStr">
        <is>
          <t>explorer #metroTable Brisbane row; explorer #regTable; workbook Metro_Capacity!C8; note: the primer's metro section at pages 16 to 21 sets out each metro without printing an operating megawatt figure for it</t>
        </is>
      </c>
      <c r="I33" s="109" t="inlineStr">
        <is>
          <t>inashanu estimate share (Assumptions #30)</t>
        </is>
      </c>
      <c r="J33" s="110" t="inlineStr">
        <is>
          <t>MW - operating IT load (national)</t>
        </is>
      </c>
    </row>
    <row r="34">
      <c r="A34" s="106" t="n">
        <v>27</v>
      </c>
      <c r="B34" s="97" t="inlineStr">
        <is>
          <t>Perth operating MW, 2025</t>
        </is>
      </c>
      <c r="C34" s="128" t="n">
        <v>67.5</v>
      </c>
      <c r="D34" s="108" t="inlineStr">
        <is>
          <t>MW</t>
        </is>
      </c>
      <c r="E34" s="110" t="inlineStr">
        <is>
          <t>Metro_Capacity!C9</t>
        </is>
      </c>
      <c r="F34" s="140">
        <f>Metro_Capacity!$C$9</f>
        <v>67.5</v>
      </c>
      <c r="G34" s="100" t="str">
        <f>IF(ABS(F34-C34)&lt;=0.1,"match","MISMATCH")</f>
        <v>match</v>
      </c>
      <c r="H34" s="109" t="inlineStr">
        <is>
          <t>explorer #metroTable Perth row; explorer #regTable; workbook Metro_Capacity!C9; note: the primer's metro section at pages 16 to 21 sets out each metro without printing an operating megawatt figure for it</t>
        </is>
      </c>
      <c r="I34" s="109" t="inlineStr">
        <is>
          <t>inashanu estimate share (Assumptions #31)</t>
        </is>
      </c>
      <c r="J34" s="110" t="inlineStr">
        <is>
          <t>MW - operating IT load (national)</t>
        </is>
      </c>
    </row>
    <row r="35">
      <c r="A35" s="106" t="n">
        <v>28</v>
      </c>
      <c r="B35" s="97" t="inlineStr">
        <is>
          <t>Canberra operating MW, 2025</t>
        </is>
      </c>
      <c r="C35" s="115" t="n">
        <v>27</v>
      </c>
      <c r="D35" s="108" t="inlineStr">
        <is>
          <t>MW</t>
        </is>
      </c>
      <c r="E35" s="110" t="inlineStr">
        <is>
          <t>Metro_Capacity!C10</t>
        </is>
      </c>
      <c r="F35" s="118">
        <f>Metro_Capacity!$C$10</f>
        <v>27</v>
      </c>
      <c r="G35" s="100" t="str">
        <f>IF(ABS(F35-C35)&lt;=0.1,"match","MISMATCH")</f>
        <v>match</v>
      </c>
      <c r="H35" s="109" t="inlineStr">
        <is>
          <t>explorer #metroTable Canberra row; explorer #regTable; workbook Metro_Capacity!C10; note: the primer's metro section at pages 16 to 21 sets out each metro without printing an operating megawatt figure for it</t>
        </is>
      </c>
      <c r="I35" s="109" t="inlineStr">
        <is>
          <t>inashanu estimate share (Assumptions #32)</t>
        </is>
      </c>
      <c r="J35" s="110" t="inlineStr">
        <is>
          <t>MW - operating IT load (national)</t>
        </is>
      </c>
    </row>
    <row r="36">
      <c r="A36" s="106" t="n">
        <v>29</v>
      </c>
      <c r="B36" s="97" t="inlineStr">
        <is>
          <t>Adelaide operating MW, 2025</t>
        </is>
      </c>
      <c r="C36" s="128" t="n">
        <v>13.5</v>
      </c>
      <c r="D36" s="108" t="inlineStr">
        <is>
          <t>MW</t>
        </is>
      </c>
      <c r="E36" s="110" t="inlineStr">
        <is>
          <t>Metro_Capacity!C11</t>
        </is>
      </c>
      <c r="F36" s="140">
        <f>Metro_Capacity!$C$11</f>
        <v>13.5</v>
      </c>
      <c r="G36" s="100" t="str">
        <f>IF(ABS(F36-C36)&lt;=0.1,"match","MISMATCH")</f>
        <v>match</v>
      </c>
      <c r="H36" s="109" t="inlineStr">
        <is>
          <t>explorer #metroTable Adelaide row; explorer #regTable; workbook Metro_Capacity!C11; note: the primer's metro section at pages 16 to 21 sets out each metro without printing an operating megawatt figure for it</t>
        </is>
      </c>
      <c r="I36" s="109" t="inlineStr">
        <is>
          <t>inashanu estimate share (Assumptions #33)</t>
        </is>
      </c>
      <c r="J36" s="110" t="inlineStr">
        <is>
          <t>MW - operating IT load (national)</t>
        </is>
      </c>
    </row>
    <row r="37">
      <c r="A37" s="106" t="n">
        <v>30</v>
      </c>
      <c r="B37" s="97" t="inlineStr">
        <is>
          <t>Sydney share of national operating capacity</t>
        </is>
      </c>
      <c r="C37" s="119" t="n">
        <v>0.6</v>
      </c>
      <c r="D37" s="108" t="inlineStr">
        <is>
          <t>%</t>
        </is>
      </c>
      <c r="E37" s="110" t="inlineStr">
        <is>
          <t>Assumptions!E34</t>
        </is>
      </c>
      <c r="F37" s="130">
        <f>Assumptions!$E$34</f>
        <v>0.6</v>
      </c>
      <c r="G37" s="100" t="str">
        <f>IF(ABS(F37-C37)&lt;=0.001,"match","MISMATCH")</f>
        <v>match</v>
      </c>
      <c r="H37" s="109" t="inlineStr">
        <is>
          <t>Primer p.16 metro page; Primer p.20 regional scoreboard; Primer p.5 headline; explorer #metroTable; explorer #regTable; workbook Assumptions!E34</t>
        </is>
      </c>
      <c r="I37" s="109" t="inlineStr">
        <is>
          <t>S-03; S-14</t>
        </is>
      </c>
      <c r="J37" s="110" t="inlineStr">
        <is>
          <t>share of operating IT load (national)</t>
        </is>
      </c>
    </row>
    <row r="38">
      <c r="A38" s="106" t="n">
        <v>31</v>
      </c>
      <c r="B38" s="97" t="inlineStr">
        <is>
          <t>UC delivery factor, base</t>
        </is>
      </c>
      <c r="C38" s="119" t="n">
        <v>0.68</v>
      </c>
      <c r="D38" s="108" t="inlineStr">
        <is>
          <t>%</t>
        </is>
      </c>
      <c r="E38" s="110" t="inlineStr">
        <is>
          <t>Assumptions!E17</t>
        </is>
      </c>
      <c r="F38" s="130">
        <f>Assumptions!$E$17</f>
        <v>0.68</v>
      </c>
      <c r="G38" s="100" t="str">
        <f>IF(ABS(F38-C38)&lt;=0.001,"match","MISMATCH")</f>
        <v>match</v>
      </c>
      <c r="H38" s="109" t="inlineStr">
        <is>
          <t>Primer p.49 pre-commitment page; Primer p.26 demand page; Primer p.6 executive summary; explorer #drivers; explorer #regTable; workbook Assumptions!E17</t>
        </is>
      </c>
      <c r="I38" s="109" t="inlineStr">
        <is>
          <t>S-11 anchor (68% UC pre-commitment)</t>
        </is>
      </c>
      <c r="J38" s="110" t="inlineStr">
        <is>
          <t>share of announced project capacity</t>
        </is>
      </c>
    </row>
    <row r="39">
      <c r="A39" s="106" t="n">
        <v>32</v>
      </c>
      <c r="B39" s="97" t="inlineStr">
        <is>
          <t>Share of pipeline fully deliverable</t>
        </is>
      </c>
      <c r="C39" s="119" t="n">
        <v>0.25</v>
      </c>
      <c r="D39" s="108" t="inlineStr">
        <is>
          <t>%</t>
        </is>
      </c>
      <c r="E39" s="110" t="inlineStr">
        <is>
          <t>Assumptions!E15</t>
        </is>
      </c>
      <c r="F39" s="130">
        <f>Assumptions!$E$15</f>
        <v>0.25</v>
      </c>
      <c r="G39" s="100" t="str">
        <f>IF(ABS(F39-C39)&lt;=0.001,"match","MISMATCH")</f>
        <v>match</v>
      </c>
      <c r="H39" s="109" t="inlineStr">
        <is>
          <t>Primer p.26 deliverability check; Primer p.29 pipeline against need; Primer p.4 key-figure strip; explorer #drivers; explorer #regTable; workbook Assumptions!E15</t>
        </is>
      </c>
      <c r="I39" s="109" t="inlineStr">
        <is>
          <t>S-11 (M3 Property, Nov 2025)</t>
        </is>
      </c>
      <c r="J39" s="110" t="inlineStr">
        <is>
          <t>share of announced project capacity</t>
        </is>
      </c>
    </row>
    <row r="40">
      <c r="A40" s="106" t="n">
        <v>33</v>
      </c>
      <c r="B40" s="97" t="inlineStr">
        <is>
          <t>Capex per MW, base</t>
        </is>
      </c>
      <c r="C40" s="123" t="n">
        <v>10.5</v>
      </c>
      <c r="D40" s="108" t="inlineStr">
        <is>
          <t>A$m/MW</t>
        </is>
      </c>
      <c r="E40" s="110" t="inlineStr">
        <is>
          <t>Assumptions!E31</t>
        </is>
      </c>
      <c r="F40" s="135">
        <f>Assumptions!$E$31</f>
        <v>10.5</v>
      </c>
      <c r="G40" s="100" t="str">
        <f>IF(ABS(F40-C40)&lt;=0.01,"match","MISMATCH")</f>
        <v>match</v>
      </c>
      <c r="H40" s="109" t="inlineStr">
        <is>
          <t>workbook Assumptions!E31; note: the primer publishes the A$6 to 15m per MW build-cost range this sits inside, at pages 32 and 53, and not the point estimate; the explorer does not show it</t>
        </is>
      </c>
      <c r="I40" s="109" t="inlineStr">
        <is>
          <t>S-15; S-16; S-19 derived range A$6–15m/MW</t>
        </is>
      </c>
      <c r="J40" s="110" t="inlineStr">
        <is>
          <t>A$m per MW of IT load</t>
        </is>
      </c>
    </row>
    <row r="41">
      <c r="A41" s="106" t="n">
        <v>34</v>
      </c>
      <c r="B41" s="97" t="inlineStr">
        <is>
          <t>Cap rate, base</t>
        </is>
      </c>
      <c r="C41" s="119" t="n">
        <v>0.057</v>
      </c>
      <c r="D41" s="108" t="inlineStr">
        <is>
          <t>%</t>
        </is>
      </c>
      <c r="E41" s="110" t="inlineStr">
        <is>
          <t>Assumptions!E33</t>
        </is>
      </c>
      <c r="F41" s="130">
        <f>Assumptions!$E$33</f>
        <v>0.057</v>
      </c>
      <c r="G41" s="100" t="str">
        <f>IF(ABS(F41-C41)&lt;=0.001,"match","MISMATCH")</f>
        <v>match</v>
      </c>
      <c r="H41" s="109" t="inlineStr">
        <is>
          <t>workbook Assumptions!E33; note: the primer publishes the cap-rate evidence at page 52, including the M3 and Colliers typical trading band of 5.2 to 6.2 per cent, and not this point estimate; the explorer does not show it</t>
        </is>
      </c>
      <c r="I41" s="109" t="inlineStr">
        <is>
          <t>S-31 (M3/Colliers 5.2–6.2%)</t>
        </is>
      </c>
      <c r="J41" s="110" t="inlineStr">
        <is>
          <t>% - capitalisation rate</t>
        </is>
      </c>
    </row>
    <row r="42">
      <c r="A42" s="106" t="n">
        <v>35</v>
      </c>
      <c r="B42" s="97" t="inlineStr">
        <is>
          <t>Sydney colocation price, midpoint</t>
        </is>
      </c>
      <c r="C42" s="123" t="n">
        <v>177.5</v>
      </c>
      <c r="D42" s="108" t="inlineStr">
        <is>
          <t>US$/kW/mo</t>
        </is>
      </c>
      <c r="E42" s="110" t="inlineStr">
        <is>
          <t>Assumptions!E27</t>
        </is>
      </c>
      <c r="F42" s="135">
        <f>Assumptions!$E$27</f>
        <v>177.5</v>
      </c>
      <c r="G42" s="100" t="str">
        <f>IF(ABS(F42-C42)&lt;=0.1,"match","MISMATCH")</f>
        <v>match</v>
      </c>
      <c r="H42" s="109" t="inlineStr">
        <is>
          <t>explorer #regTable; workbook Assumptions!E27; note: the primer publishes the CBRE Sydney range of US$140 to 215 per kW per month at pages 48 and 53, and not the midpoint of it</t>
        </is>
      </c>
      <c r="I42" s="109" t="inlineStr">
        <is>
          <t>S-07 (CBRE, Q1 2025)</t>
        </is>
      </c>
      <c r="J42" s="110" t="inlineStr">
        <is>
          <t>US$/kW/month - colocation 250-500 kW</t>
        </is>
      </c>
    </row>
    <row r="43">
      <c r="A43" s="106" t="n">
        <v>36</v>
      </c>
      <c r="B43" s="97" t="inlineStr">
        <is>
          <t>FX assumption, US$ per A$1</t>
        </is>
      </c>
      <c r="C43" s="147" t="n">
        <v>0.66</v>
      </c>
      <c r="D43" s="108" t="inlineStr">
        <is>
          <t>US$/A$</t>
        </is>
      </c>
      <c r="E43" s="110" t="inlineStr">
        <is>
          <t>Assumptions!E26</t>
        </is>
      </c>
      <c r="F43" s="148">
        <f>Assumptions!$E$26</f>
        <v>0.66</v>
      </c>
      <c r="G43" s="100" t="str">
        <f>IF(ABS(F43-C43)&lt;=0.001,"match","MISMATCH")</f>
        <v>match</v>
      </c>
      <c r="H43" s="109" t="inlineStr">
        <is>
          <t>Primer p.11 scope comparison; Primer p.13 growth page; explorer #drivers; explorer #regTable; workbook Assumptions!E26</t>
        </is>
      </c>
      <c r="I43" s="109" t="inlineStr">
        <is>
          <t>inashanu estimate anchored on the dossier's own conversions</t>
        </is>
      </c>
      <c r="J43" s="110" t="inlineStr">
        <is>
          <t>US$ per A$1</t>
        </is>
      </c>
    </row>
    <row r="44">
      <c r="A44" s="106" t="n">
        <v>37</v>
      </c>
      <c r="B44" s="97" t="inlineStr">
        <is>
          <t>Billing / contracted conversion</t>
        </is>
      </c>
      <c r="C44" s="119" t="n">
        <v>0.453</v>
      </c>
      <c r="D44" s="108" t="inlineStr">
        <is>
          <t>%</t>
        </is>
      </c>
      <c r="E44" s="110" t="inlineStr">
        <is>
          <t>Assumptions!E30</t>
        </is>
      </c>
      <c r="F44" s="130">
        <f>Assumptions!$E$30</f>
        <v>0.45302287581699346</v>
      </c>
      <c r="G44" s="100" t="str">
        <f>IF(ABS(F44-C44)&lt;=0.001,"match","MISMATCH")</f>
        <v>match</v>
      </c>
      <c r="H44" s="109" t="inlineStr">
        <is>
          <t>explorer #regTable; workbook Assumptions!E30; note: the primer publishes the two NEXTDC disclosures this divides, 110.9 MW billing at page 26 and 244.8 MW contracted at page 41; the ratio itself is not printed</t>
        </is>
      </c>
      <c r="I44" s="109" t="inlineStr">
        <is>
          <t>S-20 (110.9 ÷ 244.8 MW)</t>
        </is>
      </c>
      <c r="J44" s="110" t="inlineStr">
        <is>
          <t>ratio - NEXTDC billing utilisation over contracted utilisation</t>
        </is>
      </c>
    </row>
    <row r="45">
      <c r="A45" s="106" t="n">
        <v>38</v>
      </c>
      <c r="B45" s="97" t="inlineStr">
        <is>
          <t>Mordor capacity basis, 2030 cross-check</t>
        </is>
      </c>
      <c r="C45" s="115" t="n">
        <v>7180</v>
      </c>
      <c r="D45" s="108" t="inlineStr">
        <is>
          <t>MW</t>
        </is>
      </c>
      <c r="E45" s="110" t="inlineStr">
        <is>
          <t>Market_Sizing!J17</t>
        </is>
      </c>
      <c r="F45" s="118">
        <f>Market_Sizing!$J$17</f>
        <v>7177.6020459377505</v>
      </c>
      <c r="G45" s="100" t="str">
        <f>IF(ABS(F45-C45)&lt;=5,"match","MISMATCH")</f>
        <v>match</v>
      </c>
      <c r="H45" s="109" t="inlineStr">
        <is>
          <t>Primer p.12 published-forecast table; Primer p.61 scenario anchors; Primer p.63 basis note; explorer #srcTable; explorer #regTable; workbook Market_Sizing!J17</t>
        </is>
      </c>
      <c r="I45" s="109" t="inlineStr">
        <is>
          <t>S-05 (3,530 MW at 15.25% CAGR)</t>
        </is>
      </c>
      <c r="J45" s="110" t="inlineStr">
        <is>
          <t>MW - Mordor capacity basis</t>
        </is>
      </c>
    </row>
    <row r="46">
      <c r="A46" s="106" t="n">
        <v>39</v>
      </c>
      <c r="B46" s="97" t="inlineStr">
        <is>
          <t>NEXTDC FY26 EBITDA margin on net revenue</t>
        </is>
      </c>
      <c r="C46" s="119" t="n">
        <v>0.6143</v>
      </c>
      <c r="D46" s="108" t="inlineStr">
        <is>
          <t>%</t>
        </is>
      </c>
      <c r="E46" s="110" t="inlineStr">
        <is>
          <t>Unit_Economics!C32</t>
        </is>
      </c>
      <c r="F46" s="130">
        <f>Unit_Economics!$C$32</f>
        <v>0.614320987654321</v>
      </c>
      <c r="G46" s="100" t="str">
        <f>IF(ABS(F46-C46)&lt;=0.001,"match","MISMATCH")</f>
        <v>match</v>
      </c>
      <c r="H46" s="109" t="inlineStr">
        <is>
          <t>Primer p.50 NEXTDC margins; Primer p.51 margin benchmark; explorer #regTable; workbook Unit_Economics!C32</t>
        </is>
      </c>
      <c r="I46" s="109" t="inlineStr">
        <is>
          <t>S-22; S-23</t>
        </is>
      </c>
      <c r="J46" s="110" t="inlineStr">
        <is>
          <t>ratio - NEXTDC underlying EBITDA over net revenue</t>
        </is>
      </c>
    </row>
    <row r="47">
      <c r="A47" s="106" t="n">
        <v>40</v>
      </c>
      <c r="B47" s="97" t="inlineStr">
        <is>
          <t>AirTrunk implied contracted EBITDA</t>
        </is>
      </c>
      <c r="C47" s="123" t="n">
        <v>1142.9</v>
      </c>
      <c r="D47" s="108" t="inlineStr">
        <is>
          <t>A$m</t>
        </is>
      </c>
      <c r="E47" s="110" t="inlineStr">
        <is>
          <t>Valuation_Comps!B8</t>
        </is>
      </c>
      <c r="F47" s="135">
        <f>Valuation_Comps!$B$8</f>
        <v>1142.857142857143</v>
      </c>
      <c r="G47" s="100" t="str">
        <f>IF(ABS(F47-C47)&lt;=1,"match","MISMATCH")</f>
        <v>match</v>
      </c>
      <c r="H47" s="109" t="inlineStr">
        <is>
          <t>Primer p.56 AirTrunk multiple bridge; explorer #playerProv; explorer #regTable; workbook Valuation_Comps!B8</t>
        </is>
      </c>
      <c r="I47" s="109" t="inlineStr">
        <is>
          <t>EV A$24bn ÷ 21x contracted (S-17; S-19)</t>
        </is>
      </c>
      <c r="J47" s="110" t="inlineStr">
        <is>
          <t>A$m - contracted EBITDA implied by transaction EV at 21x</t>
        </is>
      </c>
    </row>
    <row r="48">
      <c r="A48" s="106" t="n">
        <v>41</v>
      </c>
      <c r="B48" s="97" t="inlineStr">
        <is>
          <t>CDC independent valuation, 30 Jun 2026</t>
        </is>
      </c>
      <c r="C48" s="123" t="n">
        <v>18.5</v>
      </c>
      <c r="D48" s="108" t="inlineStr">
        <is>
          <t>A$bn</t>
        </is>
      </c>
      <c r="E48" s="110" t="inlineStr">
        <is>
          <t>Valuation_Comps!B31</t>
        </is>
      </c>
      <c r="F48" s="135">
        <f>Valuation_Comps!$B$31</f>
        <v>18.5</v>
      </c>
      <c r="G48" s="100" t="str">
        <f>IF(ABS(F48-C48)&lt;=0.01,"match","MISMATCH")</f>
        <v>match</v>
      </c>
      <c r="H48" s="109" t="inlineStr">
        <is>
          <t>Primer p.43 CDC page; Primer p.44 re-rating chart; explorer #playerTable; explorer #regTable; workbook Valuation_Comps!B31</t>
        </is>
      </c>
      <c r="I48" s="109" t="inlineStr">
        <is>
          <t>S-25; S-26</t>
        </is>
      </c>
      <c r="J48" s="110" t="inlineStr">
        <is>
          <t>A$bn - independent valuation (Infratil disclosure)</t>
        </is>
      </c>
    </row>
    <row r="49">
      <c r="A49" s="106" t="n">
        <v>42</v>
      </c>
      <c r="B49" s="97" t="inlineStr">
        <is>
          <t>Operating IT load as a share of the Mordor capacity basis, 2025</t>
        </is>
      </c>
      <c r="C49" s="119" t="n">
        <v>0.3824</v>
      </c>
      <c r="D49" s="108" t="inlineStr">
        <is>
          <t>%</t>
        </is>
      </c>
      <c r="E49" s="110" t="inlineStr">
        <is>
          <t>Market_Sizing!B60</t>
        </is>
      </c>
      <c r="F49" s="130">
        <f>Market_Sizing!$B$60</f>
        <v>0.38243626062322944</v>
      </c>
      <c r="G49" s="100" t="str">
        <f>IF(ABS(F49-C49)&lt;=0.0005,"match","MISMATCH")</f>
        <v>match</v>
      </c>
      <c r="H49" s="109" t="inlineStr">
        <is>
          <t>Primer p.63 basis note; explorer #basisNote; explorer #regTable; workbook Market_Sizing!B60</t>
        </is>
      </c>
      <c r="I49" s="109" t="inlineStr">
        <is>
          <t>1,350 (S-09) ÷ 3,530 (S-05)</t>
        </is>
      </c>
      <c r="J49" s="110" t="inlineStr">
        <is>
          <t>ratio - operating IT load over Mordor capacity basis, same year</t>
        </is>
      </c>
    </row>
    <row r="50">
      <c r="A50" s="106" t="n">
        <v>43</v>
      </c>
      <c r="B50" s="97" t="inlineStr">
        <is>
          <t>Mordor 2030 figure restated at that ratio</t>
        </is>
      </c>
      <c r="C50" s="115" t="n">
        <v>2746</v>
      </c>
      <c r="D50" s="108" t="inlineStr">
        <is>
          <t>MW</t>
        </is>
      </c>
      <c r="E50" s="110" t="inlineStr">
        <is>
          <t>Market_Sizing!B61</t>
        </is>
      </c>
      <c r="F50" s="118">
        <f>Market_Sizing!$B$61</f>
        <v>2744.9752866900744</v>
      </c>
      <c r="G50" s="100" t="str">
        <f>IF(ABS(F50-C50)&lt;=5,"match","MISMATCH")</f>
        <v>match</v>
      </c>
      <c r="H50" s="109" t="inlineStr">
        <is>
          <t>Primer p.63 basis note; explorer #regTable; workbook Market_Sizing!B61</t>
        </is>
      </c>
      <c r="I50" s="109" t="inlineStr">
        <is>
          <t>S-05 restated onto the operating basis at the same-year ratio of S-09 to S-05 — a memo, not an input</t>
        </is>
      </c>
      <c r="J50" s="110" t="inlineStr">
        <is>
          <t>MW - operating IT load (national)</t>
        </is>
      </c>
    </row>
    <row r="51">
      <c r="A51" s="138" t="inlineStr"/>
      <c r="B51" s="131" t="inlineStr">
        <is>
          <t>RECONCILIATION RESULT</t>
        </is>
      </c>
      <c r="C51" s="131" t="inlineStr"/>
      <c r="D51" s="131" t="inlineStr"/>
      <c r="E51" s="131" t="inlineStr"/>
      <c r="F51" s="131" t="str">
        <f>COUNTIF(G8:G50,"match")&amp;" of "&amp;43&amp;" match"</f>
        <v>43 of 43 match</v>
      </c>
      <c r="G51" s="131" t="str">
        <f>IF(COUNTIF(G8:G50,"MISMATCH")=0,"PASS","FAIL")</f>
        <v>PASS</v>
      </c>
      <c r="H51" s="133" t="inlineStr">
        <is>
          <t>Nothing is published while this cell reads FAIL</t>
        </is>
      </c>
      <c r="I51" s="138" t="inlineStr"/>
      <c r="J51" s="138" t="inlineStr"/>
    </row>
    <row r="52">
      <c r="A52" s="138" t="inlineStr"/>
      <c r="B52" s="131" t="inlineStr">
        <is>
          <t>BASIS GATE</t>
        </is>
      </c>
      <c r="C52" s="131" t="inlineStr"/>
      <c r="D52" s="131" t="inlineStr"/>
      <c r="E52" s="133" t="inlineStr">
        <is>
          <t>Market_Sizing!B10</t>
        </is>
      </c>
      <c r="F52" s="131" t="str">
        <f>Market_Sizing!$B$10</f>
        <v>PASS</v>
      </c>
      <c r="G52" s="131" t="str">
        <f>IF(F52="PASS","match","MISMATCH")</f>
        <v>match</v>
      </c>
      <c r="H52" s="133" t="inlineStr">
        <is>
          <t>Every implied CAGR in the capacity build runs between two cells whose Basis column entries are identical. This cell compares labels, which a relabelling defeats; it is kept as a visible in-sheet signal and is not what publication rests on. build/check_basis.py derives the basis of every formula in this file from its precedents, and build/basis_attacks.py rebuilds thirteen defeats of that check and fails if any of them passes.</t>
        </is>
      </c>
      <c r="I52" s="138" t="inlineStr"/>
      <c r="J52" s="138" t="inlineStr"/>
    </row>
    <row r="53"/>
    <row r="54">
      <c r="A54" s="93" t="inlineStr">
        <is>
          <t>Figures the deck and the explorer carried before this reconciliation</t>
        </is>
      </c>
      <c r="B54" s="93" t="n"/>
      <c r="C54" s="93" t="n"/>
      <c r="D54" s="93" t="n"/>
      <c r="E54" s="93" t="n"/>
      <c r="F54" s="93" t="n"/>
      <c r="G54" s="93" t="n"/>
      <c r="H54" s="93" t="n"/>
      <c r="I54" s="93" t="n"/>
      <c r="J54" s="93" t="n"/>
    </row>
    <row r="55">
      <c r="A55" s="95" t="inlineStr">
        <is>
          <t>Figure</t>
        </is>
      </c>
      <c r="B55" s="95" t="inlineStr">
        <is>
          <t>Withdrawn value</t>
        </is>
      </c>
      <c r="C55" s="95" t="inlineStr">
        <is>
          <t>Replaced by</t>
        </is>
      </c>
      <c r="D55" s="95" t="inlineStr">
        <is>
          <t>Why</t>
        </is>
      </c>
    </row>
    <row r="56">
      <c r="A56" s="97" t="inlineStr">
        <is>
          <t>2030 operating capacity — Base</t>
        </is>
      </c>
      <c r="B56" s="109" t="inlineStr">
        <is>
          <t>6.5 GW</t>
        </is>
      </c>
      <c r="C56" s="97" t="inlineStr">
        <is>
          <t>6.0 GW</t>
        </is>
      </c>
      <c r="D56" s="109" t="inlineStr">
        <is>
          <t>The deck asserted a figure the workbook could not produce without overtyping a sourced input. Assumptions!E9 governs.</t>
        </is>
      </c>
    </row>
    <row r="57">
      <c r="A57" s="97" t="inlineStr">
        <is>
          <t>2030 operating capacity — Bull</t>
        </is>
      </c>
      <c r="B57" s="109" t="inlineStr">
        <is>
          <t>8.0 GW</t>
        </is>
      </c>
      <c r="C57" s="97" t="inlineStr">
        <is>
          <t>7.18 GW</t>
        </is>
      </c>
      <c r="D57" s="109" t="inlineStr">
        <is>
          <t>Same defect. Assumptions!E10 governs and carries the Mordor citation the deck already relied on.</t>
        </is>
      </c>
    </row>
    <row r="58">
      <c r="A58" s="97" t="inlineStr">
        <is>
          <t>Implied CAGR — Base</t>
        </is>
      </c>
      <c r="B58" s="109" t="inlineStr">
        <is>
          <t>36.9%</t>
        </is>
      </c>
      <c r="C58" s="97" t="inlineStr">
        <is>
          <t>34.8%</t>
        </is>
      </c>
      <c r="D58" s="109" t="inlineStr">
        <is>
          <t>Recomputed from the corrected 2030 target on the 1,350 MW base.</t>
        </is>
      </c>
    </row>
    <row r="59">
      <c r="A59" s="97" t="inlineStr">
        <is>
          <t>Implied CAGR — Bull</t>
        </is>
      </c>
      <c r="B59" s="109" t="inlineStr">
        <is>
          <t>42.7%</t>
        </is>
      </c>
      <c r="C59" s="97" t="inlineStr">
        <is>
          <t>39.7%</t>
        </is>
      </c>
      <c r="D59" s="109" t="inlineStr">
        <is>
          <t>Recomputed from the corrected 2030 target on the 1,350 MW base.</t>
        </is>
      </c>
    </row>
    <row r="60">
      <c r="A60" s="97" t="inlineStr">
        <is>
          <t>Revenue cross-check</t>
        </is>
      </c>
      <c r="B60" s="109" t="inlineStr">
        <is>
          <t>A$1.35m/MW/yr vs A$2.0m/MW/yr EBITDA</t>
        </is>
      </c>
      <c r="C60" s="97" t="inlineStr">
        <is>
          <t>A$3.23m/MW/yr vs A$2.0m/MW/yr EBITDA</t>
        </is>
      </c>
      <c r="D60" s="109" t="inlineStr">
        <is>
          <t>The old form divided a stated-scope revenue total by every operating MW and broke the rule it stated. The new form puts both on a deployed-MW denominator.</t>
        </is>
      </c>
    </row>
    <row r="61">
      <c r="A61" s="97" t="inlineStr">
        <is>
          <t>Colocation revenue build</t>
        </is>
      </c>
      <c r="B61" s="109" t="inlineStr">
        <is>
          <t>Operating MW × 45.3% billing conversion</t>
        </is>
      </c>
      <c r="C61" s="97" t="inlineStr">
        <is>
          <t>Operating MW, no conversion</t>
        </is>
      </c>
      <c r="D61" s="109" t="inlineStr">
        <is>
          <t>Operating MW are commissioned. Applying a contracted-to-billing lag to them discounts the same capacity twice.</t>
        </is>
      </c>
    </row>
    <row r="62">
      <c r="A62" s="97" t="inlineStr">
        <is>
          <t>Firmus Project Southgate</t>
        </is>
      </c>
      <c r="B62" s="109" t="inlineStr">
        <is>
          <t>1,600 MW under construction</t>
        </is>
      </c>
      <c r="C62" s="97" t="inlineStr">
        <is>
          <t>150 MW under construction</t>
        </is>
      </c>
      <c r="D62" s="109" t="inlineStr">
        <is>
          <t>Only the Melbourne phase 1 is funded and contracted. The 1,450 MW balance is a 2028 target and sits in an excluded memo line.</t>
        </is>
      </c>
    </row>
    <row r="63">
      <c r="A63" s="97" t="inlineStr">
        <is>
          <t>Project universe</t>
        </is>
      </c>
      <c r="B63" s="109" t="inlineStr">
        <is>
          <t>22 in the deck, 23 here, 24 in the explorer</t>
        </is>
      </c>
      <c r="C63" s="97" t="inlineStr">
        <is>
          <t>24 in all three</t>
        </is>
      </c>
      <c r="D63" s="109" t="inlineStr">
        <is>
          <t>One universe. The Anthropic Western Downs lease of 16 Sep 2026 is now carried in all three artifacts.</t>
        </is>
      </c>
    </row>
    <row r="64">
      <c r="A64" s="97" t="inlineStr">
        <is>
          <t>2030 operating capacity — Bull (21 Sep 2026)</t>
        </is>
      </c>
      <c r="B64" s="109" t="inlineStr">
        <is>
          <t>7.18 GW</t>
        </is>
      </c>
      <c r="C64" s="97" t="inlineStr">
        <is>
          <t>6.22 GW</t>
        </is>
      </c>
      <c r="D64" s="109" t="inlineStr">
        <is>
          <t>The 7,180 MW came from Mordor Intelligence, whose own 2025 value is 3,530 MW. A compound rate from a 1,350 MW start to a 7,180 MW end runs across two definitions of capacity and measures the distance between them as well as the change over time. Assumptions!E10 is now built from this model's own pipeline on the operating IT load basis. Mordor's series is unchanged and runs at Market_Sizing section E, where the restated memo shows what its 2030 figure is worth on this basis.</t>
        </is>
      </c>
    </row>
    <row r="65">
      <c r="A65" s="97" t="inlineStr">
        <is>
          <t>Implied CAGR — Bull (21 Sep 2026)</t>
        </is>
      </c>
      <c r="B65" s="109" t="inlineStr">
        <is>
          <t>39.7%</t>
        </is>
      </c>
      <c r="C65" s="97" t="inlineStr">
        <is>
          <t>35.7%</t>
        </is>
      </c>
      <c r="D65" s="109" t="inlineStr">
        <is>
          <t>Recomputed from the rebuilt target. The scenario spread narrows from 29.9–39.7% to 29.9–35.7%, which is what the visible pipeline supports at full completion of everything under construction.</t>
        </is>
      </c>
    </row>
    <row r="66">
      <c r="A66" s="97" t="inlineStr">
        <is>
          <t>Implied 2020 capacity base (21 Sep 2026)</t>
        </is>
      </c>
      <c r="B66" s="109" t="inlineStr">
        <is>
          <t>1,315 ÷ 3 = 438 MW</t>
        </is>
      </c>
      <c r="C66" s="97" t="inlineStr">
        <is>
          <t>1,350 ÷ 3 = 450 MW</t>
        </is>
      </c>
      <c r="D66" s="109" t="inlineStr">
        <is>
          <t>The 2022–24 interpolation ran from a 2020 point derived from M3's occupancy series to a 2025 point on the operating IT load series. M3's proportion — two-thirds of the expansion after 2020 — is kept; it is now applied to the operating series so both ends of the interpolation sit on one basis.</t>
        </is>
      </c>
    </row>
    <row r="67">
      <c r="A67" s="97" t="inlineStr">
        <is>
          <t>Bull revenue growth anchor (21 Sep 2026)</t>
        </is>
      </c>
      <c r="B67" s="109" t="inlineStr">
        <is>
          <t>Mordor's 15.25% capacity CAGR, rounded</t>
        </is>
      </c>
      <c r="C67" s="97" t="inlineStr">
        <is>
          <t>inashanu estimate above the highest published revenue-basis rate</t>
        </is>
      </c>
      <c r="D67" s="109" t="inlineStr">
        <is>
          <t>The 16% high case is unchanged, so no revenue figure moves. What changed is its stated anchor: a capacity growth rate was being cited to justify a rate applied to a revenue series.</t>
        </is>
      </c>
    </row>
    <row r="68">
      <c r="A68" s="97" t="inlineStr">
        <is>
          <t>Where the scenario figures appear (21 Sep 2026)</t>
        </is>
      </c>
      <c r="B68" s="109" t="inlineStr">
        <is>
          <t>page numbers from an earlier pagination</t>
        </is>
      </c>
      <c r="C68" s="97" t="inlineStr">
        <is>
          <t>pages of the 56-page primer as it now stands</t>
        </is>
      </c>
      <c r="D68" s="109" t="inlineStr">
        <is>
          <t>Column H said the 2030 targets and their implied rates were on pages 2, 42, 43 and 45. The primer carries them on pages 4, 44, 45 and 47. Every page named in column H for the nine scenario and Mordor rows was re-read against the current file before it was written here, and the ratio row now says what is true of it: the ratio is a workbook disclosure and appears in no published artifact. The remaining rows of column H still carry the older pagination and are not yet re-pointed; column H is prose and no gate reads it, which is how it drifted.</t>
        </is>
      </c>
    </row>
    <row r="69">
      <c r="A69" s="97" t="inlineStr">
        <is>
          <t>How the basis rule is enforced (21 Sep 2026)</t>
        </is>
      </c>
      <c r="B69" s="109" t="inlineStr">
        <is>
          <t>two label cells compared against each other</t>
        </is>
      </c>
      <c r="C69" s="97" t="inlineStr">
        <is>
          <t>the basis of every figure derived from its precedents</t>
        </is>
      </c>
      <c r="D69" s="109" t="inlineStr">
        <is>
          <t>A verifier took a copy of this workbook, rewrote Assumptions!E10 to derive the bull target from Mordor's 3,530 MW installed-capacity figure, and left the label at K10 reading 'MW - operating IT load (national)'. The in-sheet gate at Market_Sizing!B10 read PASS, all three comparison cells read 'same basis', and the file would have been republished to four artifacts carrying 7,180 MW. Both guards compared labels, and a label is what the attacker was editing. The check now parses every formula, walks the precedent graph, and derives what each cell counts from what its inputs count; the label is compared against that derivation and is no longer the authority for anything.</t>
        </is>
      </c>
    </row>
    <row r="70">
      <c r="A70" s="97" t="inlineStr">
        <is>
          <t>Adding the pipeline to the installed base (21 Sep 2026)</t>
        </is>
      </c>
      <c r="B70" s="109" t="inlineStr">
        <is>
          <t>announced project MW added to operating MW, asserted to be operating load by the label</t>
        </is>
      </c>
      <c r="C70" s="97" t="inlineStr">
        <is>
          <t>the same sum, with the crossing declared as a conversion at Assumptions #41</t>
        </is>
      </c>
      <c r="D70" s="109" t="inlineStr">
        <is>
          <t>The bull target, the bottom-up build at Market_Sizing section B, and two rows of the Sensitivity tornado all added a probability-weighted slice of announced project capacity to the 2025 installed base. Those are two different measurements and no rule covered the addition. The conversion is now a cell with a source, an as-of date and a stated limit, and the factor is 1.00, so no published figure moves. What changed is that the step is visible, arguable, and recorded every time it is used.</t>
        </is>
      </c>
    </row>
    <row r="71">
      <c r="A71" s="97" t="inlineStr">
        <is>
          <t>The gross-margin step in the NEXTDC bridge (21 Sep 2026)</t>
        </is>
      </c>
      <c r="B71" s="109" t="inlineStr">
        <is>
          <t>a constant of 0.82 inside the bridge formula</t>
        </is>
      </c>
      <c r="C71" s="97" t="inlineStr">
        <is>
          <t>Assumptions #40, a declared conversion from net revenue to the earnings basis</t>
        </is>
      </c>
      <c r="D71" s="109" t="inlineStr">
        <is>
          <t>The bridge walked from net revenue to gross profit by multiplying by a number written in the formula bar. The value is unchanged. A number inside a formula carries no source, no date and no argument, and cannot be checked; a cell carries all four.</t>
        </is>
      </c>
    </row>
    <row r="72">
      <c r="A72" s="97" t="inlineStr">
        <is>
          <t>How publication is kept current (21 Sep 2026)</t>
        </is>
      </c>
      <c r="B72" s="109" t="inlineStr">
        <is>
          <t>a copy into the site made by hand</t>
        </is>
      </c>
      <c r="C72" s="97" t="inlineStr">
        <is>
          <t>scripts/publish-samples.py, with a gate in the site's verify run</t>
        </is>
      </c>
      <c r="D72" s="109" t="inlineStr">
        <is>
          <t>This sheet could say a published figure matched its cell while the file the site served was an older build of the same workbook, which is what happened between 11:20 and 13:01 on 21 September 2026. Publication now copies from source and records the sha256 it copied; the gate fails when a served file's bytes are not the current source, and scripts/check-figure-agreement.py reads the 2030 bull figure out of the deck, this workbook, the primer and the explorer separately and asserts the four agree.</t>
        </is>
      </c>
    </row>
    <row r="73">
      <c r="A73" s="97" t="inlineStr">
        <is>
          <t>NEXTDC market data (22 Sep 2026)</t>
        </is>
      </c>
      <c r="B73" s="109" t="inlineStr">
        <is>
          <t>A$11.34 close; 52-wk A$10.91–18.22; market cap A$8,600–9,700m; target A$20.075</t>
        </is>
      </c>
      <c r="C73" s="97" t="inlineStr">
        <is>
          <t>A$11.39 close; 52-wk A$10.91–17.84; market cap A$8,630m quoted / A$8,651m computed; target A$20.03</t>
        </is>
      </c>
      <c r="D73" s="109" t="inlineStr">
        <is>
          <t>The withdrawn figures are Yahoo Finance AU at its 28 Aug 2026 close, carried against a 16 Sep 2026 as-of date. The replacements are MarketScreener at the 16 Sep 2026 close (retrieved 21 Sep 2026, re-checked 22 Sep 2026), with the market cap cross-checked against the filed share count at S-48. The target was a midpoint of two publishers’ figures and is now one publisher’s average at one retrieval. Implied upside moves from 77.0% to 75.9%.</t>
        </is>
      </c>
    </row>
    <row r="74">
      <c r="A74" s="94" t="inlineStr">
        <is>
          <t>Reading this sheet. Column C is the number as it appears in the deck and the explorer. Column F is the same number recomputed from the workbook. Column G compares them. Change any input on Assumptions and column F moves; if the published artifacts have not been regenerated, column G will say so.</t>
        </is>
      </c>
    </row>
  </sheetData>
  <printOptions horizontalCentered="0"/>
  <pageMargins left="0.4" right="0.4" top="0.5" bottom="0.5" header="0.5" footer="0.5"/>
  <pageSetup orientation="landscape" fitToHeight="0" fitToWidth="1"/>
</worksheet>
</file>

<file path=docProps/app.xml><?xml version="1.0" encoding="utf-8"?>
<Properties xmlns="http://schemas.openxmlformats.org/officeDocument/2006/extended-properties">
  <Application/>
  <AppVersion>3.1</AppVersion>
</Properties>
</file>

<file path=docProps/core.xml><?xml version="1.0" encoding="utf-8"?>
<cp:coreProperties xmlns:cp="http://schemas.openxmlformats.org/package/2006/metadata/core-properties">
  <dcterms:created xmlns:dcterms="http://purl.org/dc/terms/" xmlns:xsi="http://www.w3.org/2001/XMLSchema-instance" xsi:type="dcterms:W3CDTF">2026-09-21T00:00:00Z</dcterms:created>
  <dcterms:modified xmlns:dcterms="http://purl.org/dc/terms/" xmlns:xsi="http://www.w3.org/2001/XMLSchema-instance" xsi:type="dcterms:W3CDTF">2026-09-22T00:00:00Z</dcterms:modified>
</cp:coreProperties>
</file>